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C:\Users\audro\OneDrive\Desktop\projektai\2026 m. sprendimu projektai\"/>
    </mc:Choice>
  </mc:AlternateContent>
  <xr:revisionPtr revIDLastSave="0" documentId="13_ncr:1_{B66E8FCE-BC0F-4959-8633-19ECDF924EB7}" xr6:coauthVersionLast="47" xr6:coauthVersionMax="47" xr10:uidLastSave="{00000000-0000-0000-0000-000000000000}"/>
  <bookViews>
    <workbookView xWindow="105" yWindow="105" windowWidth="28560" windowHeight="15600" tabRatio="769" xr2:uid="{00000000-000D-0000-FFFF-FFFF00000000}"/>
  </bookViews>
  <sheets>
    <sheet name="PAJAMOS" sheetId="71" r:id="rId1"/>
    <sheet name="BĮ PAJAMOS" sheetId="74" r:id="rId2"/>
    <sheet name="ASIGNAVIMAI" sheetId="72" r:id="rId3"/>
    <sheet name="ASIGN UGDYMO REIKMĖMS" sheetId="75" r:id="rId4"/>
    <sheet name="ASIGNAVIMAI IŠ SAVIV.BIUDŽETO" sheetId="73" r:id="rId5"/>
    <sheet name="ASIGN IŠ DOTACIJŲ" sheetId="76" r:id="rId6"/>
    <sheet name="ES" sheetId="91" r:id="rId7"/>
    <sheet name="ASIGN IŠ BĮ PAJAMŲ" sheetId="77" r:id="rId8"/>
    <sheet name="ASIGN SPEC PROGRAMOMS" sheetId="78" r:id="rId9"/>
    <sheet name="ASIGN IŠ NEP TIKSL PASK L" sheetId="80" r:id="rId10"/>
    <sheet name="IŠ NEP BĮ PAJAMŲ ĮM" sheetId="82" r:id="rId11"/>
    <sheet name="ASIGNAV IŠ ES NEP" sheetId="81" r:id="rId12"/>
    <sheet name="BKL" sheetId="84" r:id="rId13"/>
    <sheet name="ASIGN IŠ SKOLINTŲ LĖŠŲ" sheetId="79" r:id="rId14"/>
    <sheet name="Skolintos lėšos" sheetId="85" state="hidden" r:id="rId15"/>
    <sheet name="ASIGNAVIMAI PAGAL PROGRAMAS" sheetId="86" state="hidden" r:id="rId16"/>
    <sheet name="Lapas2" sheetId="87" state="hidden" r:id="rId17"/>
    <sheet name="ASIGNAVIMAI PAGAL PROGRAMAS SB" sheetId="89" state="hidden" r:id="rId18"/>
    <sheet name="asign pagal programas" sheetId="88" state="hidden" r:id="rId19"/>
    <sheet name="asign SB" sheetId="90" state="hidden" r:id="rId20"/>
  </sheets>
  <definedNames>
    <definedName name="_xlnm.Print_Titles" localSheetId="7">'ASIGN IŠ BĮ PAJAMŲ'!$11:$12</definedName>
    <definedName name="_xlnm.Print_Titles" localSheetId="5">'ASIGN IŠ DOTACIJŲ'!$13:$13</definedName>
    <definedName name="_xlnm.Print_Titles" localSheetId="3">'ASIGN UGDYMO REIKMĖMS'!$13:$14</definedName>
    <definedName name="_xlnm.Print_Titles" localSheetId="2">ASIGNAVIMAI!$10:$11</definedName>
    <definedName name="_xlnm.Print_Titles" localSheetId="4">'ASIGNAVIMAI IŠ SAVIV.BIUDŽETO'!$13:$13</definedName>
    <definedName name="_xlnm.Print_Titles" localSheetId="1">'BĮ PAJAMOS'!$11:$13</definedName>
    <definedName name="_xlnm.Print_Titles" localSheetId="0">PAJAMOS!$11:$11</definedName>
  </definedNames>
  <calcPr calcId="181029"/>
</workbook>
</file>

<file path=xl/calcChain.xml><?xml version="1.0" encoding="utf-8"?>
<calcChain xmlns="http://schemas.openxmlformats.org/spreadsheetml/2006/main">
  <c r="C68" i="73" l="1"/>
  <c r="C72" i="73"/>
  <c r="C75" i="73"/>
  <c r="C76" i="73"/>
  <c r="C64" i="73"/>
  <c r="C65" i="73"/>
  <c r="C63" i="73"/>
  <c r="C33" i="73" l="1"/>
  <c r="C84" i="73"/>
  <c r="C87" i="73"/>
  <c r="C81" i="73"/>
  <c r="C15" i="73"/>
  <c r="C104" i="73"/>
  <c r="C97" i="84"/>
  <c r="C93" i="73" l="1"/>
  <c r="C92" i="73"/>
  <c r="C39" i="73" l="1"/>
  <c r="C62" i="84"/>
  <c r="C140" i="73" l="1"/>
  <c r="C139" i="73"/>
  <c r="C138" i="73"/>
  <c r="C136" i="73"/>
  <c r="C135" i="73"/>
  <c r="C134" i="73"/>
  <c r="C133" i="73"/>
  <c r="C132" i="73"/>
  <c r="C131" i="73"/>
  <c r="C130" i="73"/>
  <c r="C129" i="73"/>
  <c r="C128" i="73"/>
  <c r="C134" i="72" s="1"/>
  <c r="C125" i="73"/>
  <c r="C124" i="73"/>
  <c r="C123" i="73"/>
  <c r="C122" i="73"/>
  <c r="C121" i="73"/>
  <c r="C120" i="73"/>
  <c r="C119" i="73"/>
  <c r="C118" i="73"/>
  <c r="C117" i="73"/>
  <c r="C116" i="73"/>
  <c r="C114" i="73"/>
  <c r="C120" i="72" s="1"/>
  <c r="C115" i="73"/>
  <c r="C111" i="73"/>
  <c r="C110" i="73"/>
  <c r="C109" i="73"/>
  <c r="C108" i="73"/>
  <c r="C107" i="73"/>
  <c r="C106" i="73"/>
  <c r="C105" i="73"/>
  <c r="C103" i="73"/>
  <c r="C102" i="73"/>
  <c r="C101" i="73"/>
  <c r="C100" i="73"/>
  <c r="C99" i="73"/>
  <c r="C98" i="73"/>
  <c r="C97" i="73"/>
  <c r="C96" i="73"/>
  <c r="C95" i="73"/>
  <c r="C94" i="73"/>
  <c r="C90" i="72"/>
  <c r="C89" i="73"/>
  <c r="C88" i="73"/>
  <c r="C86" i="73"/>
  <c r="C85" i="73"/>
  <c r="C83" i="73"/>
  <c r="C82" i="73"/>
  <c r="C80" i="73"/>
  <c r="C78" i="72" s="1"/>
  <c r="C79" i="73"/>
  <c r="C77" i="72" s="1"/>
  <c r="C78" i="73"/>
  <c r="C77" i="73"/>
  <c r="C73" i="72"/>
  <c r="C74" i="73"/>
  <c r="C72" i="72" s="1"/>
  <c r="C73" i="73"/>
  <c r="C71" i="73"/>
  <c r="C69" i="72" s="1"/>
  <c r="C70" i="73"/>
  <c r="C69" i="73"/>
  <c r="C66" i="72"/>
  <c r="C67" i="73"/>
  <c r="C66" i="73"/>
  <c r="C61" i="72"/>
  <c r="C60" i="73"/>
  <c r="C59" i="73"/>
  <c r="C58" i="73"/>
  <c r="C57" i="73"/>
  <c r="C56" i="73"/>
  <c r="C55" i="73"/>
  <c r="C54" i="73"/>
  <c r="C53" i="73"/>
  <c r="C52" i="73"/>
  <c r="C51" i="73"/>
  <c r="C50" i="73"/>
  <c r="C49" i="73"/>
  <c r="C48" i="73"/>
  <c r="C47" i="73"/>
  <c r="C46" i="73"/>
  <c r="C45" i="73"/>
  <c r="C44" i="73"/>
  <c r="C43" i="73"/>
  <c r="C42" i="73"/>
  <c r="C41" i="73"/>
  <c r="C40" i="73"/>
  <c r="C38" i="73"/>
  <c r="C37" i="73"/>
  <c r="C36" i="73"/>
  <c r="C35" i="73"/>
  <c r="C34" i="73"/>
  <c r="C32" i="73"/>
  <c r="C31" i="73"/>
  <c r="C30" i="73"/>
  <c r="C29" i="73"/>
  <c r="C28" i="73"/>
  <c r="C27" i="73"/>
  <c r="C26" i="73"/>
  <c r="C25" i="73"/>
  <c r="C24" i="73"/>
  <c r="C23" i="73"/>
  <c r="C22" i="73"/>
  <c r="C21" i="73"/>
  <c r="C20" i="73"/>
  <c r="C19" i="73"/>
  <c r="C18" i="73"/>
  <c r="C17" i="73"/>
  <c r="C16" i="73"/>
  <c r="C106" i="72"/>
  <c r="C67" i="72"/>
  <c r="D134" i="76"/>
  <c r="C87" i="72"/>
  <c r="C70" i="72"/>
  <c r="C71" i="72"/>
  <c r="D31" i="91" l="1"/>
  <c r="D39" i="91"/>
  <c r="D43" i="91"/>
  <c r="D49" i="91"/>
  <c r="D50" i="91" l="1"/>
  <c r="D30" i="76"/>
  <c r="D77" i="76"/>
  <c r="C113" i="72"/>
  <c r="C137" i="73"/>
  <c r="D80" i="76"/>
  <c r="D90" i="76"/>
  <c r="D91" i="76"/>
  <c r="D94" i="76"/>
  <c r="D86" i="76"/>
  <c r="C97" i="72" s="1"/>
  <c r="D88" i="76"/>
  <c r="D92" i="76"/>
  <c r="D83" i="76"/>
  <c r="D89" i="76"/>
  <c r="D84" i="76"/>
  <c r="D93" i="76"/>
  <c r="D85" i="76"/>
  <c r="D81" i="76"/>
  <c r="D82" i="76"/>
  <c r="D87" i="76"/>
  <c r="D95" i="76" l="1"/>
  <c r="C16" i="75"/>
  <c r="C73" i="84" l="1"/>
  <c r="C84" i="84"/>
  <c r="C91" i="72" l="1"/>
  <c r="D104" i="76"/>
  <c r="C21" i="78"/>
  <c r="C36" i="75" l="1"/>
  <c r="C102" i="72" l="1"/>
  <c r="C101" i="72"/>
  <c r="C100" i="72"/>
  <c r="C98" i="72"/>
  <c r="C96" i="72"/>
  <c r="C95" i="72"/>
  <c r="C93" i="72"/>
  <c r="C65" i="72"/>
  <c r="C56" i="77"/>
  <c r="C43" i="77"/>
  <c r="C60" i="77" s="1"/>
  <c r="C38" i="77"/>
  <c r="C49" i="74"/>
  <c r="C79" i="72"/>
  <c r="C29" i="77"/>
  <c r="C18" i="78"/>
  <c r="D23" i="81"/>
  <c r="D22" i="81"/>
  <c r="D16" i="81"/>
  <c r="C47" i="71" l="1"/>
  <c r="C146" i="72" l="1"/>
  <c r="C46" i="82" l="1"/>
  <c r="C42" i="82"/>
  <c r="C71" i="84"/>
  <c r="C82" i="72"/>
  <c r="C76" i="71"/>
  <c r="C122" i="72" l="1"/>
  <c r="C13" i="72"/>
  <c r="C75" i="72"/>
  <c r="C61" i="73" l="1"/>
  <c r="C116" i="71" l="1"/>
  <c r="C20" i="71"/>
  <c r="C34" i="71"/>
  <c r="C35" i="71"/>
  <c r="C14" i="71" l="1"/>
  <c r="C52" i="71"/>
  <c r="C90" i="73" l="1"/>
  <c r="F38" i="74" l="1"/>
  <c r="D28" i="79"/>
  <c r="C105" i="72" l="1"/>
  <c r="D22" i="79" l="1"/>
  <c r="D19" i="79"/>
  <c r="D16" i="79"/>
  <c r="C31" i="72"/>
  <c r="D29" i="79" l="1"/>
  <c r="C76" i="72"/>
  <c r="C68" i="72"/>
  <c r="C64" i="72"/>
  <c r="C63" i="72"/>
  <c r="C62" i="72"/>
  <c r="C88" i="71" l="1"/>
  <c r="C85" i="71" s="1"/>
  <c r="C80" i="72" l="1"/>
  <c r="C74" i="72"/>
  <c r="C81" i="72"/>
  <c r="C83" i="72"/>
  <c r="C84" i="72"/>
  <c r="C85" i="72"/>
  <c r="C86" i="72"/>
  <c r="C125" i="72" l="1"/>
  <c r="C123" i="72"/>
  <c r="C126" i="72"/>
  <c r="C127" i="72"/>
  <c r="C130" i="72"/>
  <c r="C138" i="72"/>
  <c r="C115" i="72"/>
  <c r="C112" i="73"/>
  <c r="C135" i="72" l="1"/>
  <c r="C27" i="80"/>
  <c r="D128" i="76" l="1"/>
  <c r="C29" i="71" l="1"/>
  <c r="C112" i="71" l="1"/>
  <c r="C128" i="72"/>
  <c r="C131" i="72"/>
  <c r="C129" i="72"/>
  <c r="C82" i="84"/>
  <c r="C103" i="72"/>
  <c r="C29" i="72" l="1"/>
  <c r="D99" i="76"/>
  <c r="C110" i="71"/>
  <c r="C107" i="71"/>
  <c r="C51" i="71"/>
  <c r="C84" i="71" s="1"/>
  <c r="C45" i="71"/>
  <c r="C49" i="71" s="1"/>
  <c r="C37" i="71"/>
  <c r="C25" i="71"/>
  <c r="C23" i="71" s="1"/>
  <c r="C16" i="71"/>
  <c r="C13" i="71"/>
  <c r="C12" i="71" s="1"/>
  <c r="C108" i="71" l="1"/>
  <c r="C30" i="72" l="1"/>
  <c r="C112" i="72"/>
  <c r="C111" i="72"/>
  <c r="C110" i="72"/>
  <c r="C22" i="80" l="1"/>
  <c r="C141" i="73"/>
  <c r="C126" i="73"/>
  <c r="C142" i="73" l="1"/>
  <c r="C15" i="72"/>
  <c r="C21" i="72"/>
  <c r="C39" i="72" l="1"/>
  <c r="C117" i="72"/>
  <c r="C54" i="72"/>
  <c r="D49" i="74" l="1"/>
  <c r="E49" i="74"/>
  <c r="C36" i="71" s="1"/>
  <c r="C33" i="71" s="1"/>
  <c r="C22" i="71" s="1"/>
  <c r="C43" i="71" s="1"/>
  <c r="C109" i="71" s="1"/>
  <c r="C119" i="71" s="1"/>
  <c r="F49" i="74"/>
  <c r="C14" i="74"/>
  <c r="C121" i="72" l="1"/>
  <c r="C36" i="72" l="1"/>
  <c r="C124" i="72" l="1"/>
  <c r="C109" i="72" l="1"/>
  <c r="C108" i="72"/>
  <c r="C107" i="72"/>
  <c r="C99" i="72"/>
  <c r="C104" i="72"/>
  <c r="C41" i="72"/>
  <c r="C42" i="72"/>
  <c r="C43" i="72"/>
  <c r="C44" i="72"/>
  <c r="C45" i="72"/>
  <c r="C40" i="72"/>
  <c r="C137" i="72"/>
  <c r="C139" i="72"/>
  <c r="C140" i="72"/>
  <c r="C141" i="72"/>
  <c r="C142" i="72"/>
  <c r="C143" i="72"/>
  <c r="C144" i="72"/>
  <c r="C145" i="72"/>
  <c r="C136" i="72"/>
  <c r="C116" i="72"/>
  <c r="C114" i="72"/>
  <c r="C94" i="72"/>
  <c r="C92" i="72"/>
  <c r="C49" i="72"/>
  <c r="C50" i="72"/>
  <c r="C51" i="72"/>
  <c r="C52" i="72"/>
  <c r="C53" i="72"/>
  <c r="C55" i="72"/>
  <c r="C56" i="72"/>
  <c r="C57" i="72"/>
  <c r="C58" i="72"/>
  <c r="C48" i="72"/>
  <c r="C47" i="72"/>
  <c r="C46" i="72"/>
  <c r="C37" i="72"/>
  <c r="C38" i="72"/>
  <c r="C35" i="72"/>
  <c r="C32" i="72"/>
  <c r="C33" i="72"/>
  <c r="C34" i="72"/>
  <c r="C27" i="72"/>
  <c r="C28" i="72"/>
  <c r="C22" i="72"/>
  <c r="C23" i="72"/>
  <c r="C24" i="72"/>
  <c r="C25" i="72"/>
  <c r="C26" i="72"/>
  <c r="C20" i="72"/>
  <c r="C19" i="72"/>
  <c r="C18" i="72"/>
  <c r="C17" i="72"/>
  <c r="C16" i="72"/>
  <c r="C14" i="72"/>
  <c r="C96" i="84"/>
  <c r="C58" i="84"/>
  <c r="C18" i="80"/>
  <c r="D121" i="76"/>
  <c r="D135" i="76" l="1"/>
  <c r="C118" i="72"/>
  <c r="C88" i="72" l="1"/>
  <c r="C59" i="72"/>
  <c r="D18" i="85" l="1"/>
  <c r="D15" i="85"/>
  <c r="C62" i="82" l="1"/>
  <c r="C59" i="77"/>
  <c r="C59" i="82" l="1"/>
  <c r="C63" i="82" s="1"/>
  <c r="C31" i="74" l="1"/>
  <c r="C22" i="78" l="1"/>
  <c r="C147" i="72" l="1"/>
  <c r="D19" i="85"/>
  <c r="C24" i="74"/>
  <c r="C30" i="74" l="1"/>
  <c r="C29" i="74"/>
  <c r="C28" i="74"/>
  <c r="C27" i="74"/>
  <c r="C26" i="74"/>
  <c r="C25" i="74"/>
  <c r="C23" i="74"/>
  <c r="C22" i="74"/>
  <c r="C21" i="74"/>
  <c r="C20" i="74"/>
  <c r="C19" i="74"/>
  <c r="C18" i="74"/>
  <c r="C17" i="74"/>
  <c r="E23" i="90" l="1"/>
  <c r="B23" i="90"/>
  <c r="F22" i="90"/>
  <c r="E22" i="90"/>
  <c r="D22" i="90"/>
  <c r="C22" i="90"/>
  <c r="B22" i="90"/>
  <c r="F21" i="90"/>
  <c r="E21" i="90"/>
  <c r="D21" i="90"/>
  <c r="C21" i="90"/>
  <c r="B21" i="90"/>
  <c r="F20" i="90"/>
  <c r="E20" i="90"/>
  <c r="D20" i="90"/>
  <c r="C20" i="90"/>
  <c r="B20" i="90"/>
  <c r="F19" i="90"/>
  <c r="E19" i="90"/>
  <c r="D19" i="90"/>
  <c r="C19" i="90"/>
  <c r="B19" i="90"/>
  <c r="F18" i="90"/>
  <c r="E18" i="90"/>
  <c r="D18" i="90"/>
  <c r="C18" i="90"/>
  <c r="B18" i="90"/>
  <c r="F17" i="90"/>
  <c r="E17" i="90"/>
  <c r="D17" i="90"/>
  <c r="C17" i="90"/>
  <c r="B17" i="90"/>
  <c r="F16" i="90"/>
  <c r="E16" i="90"/>
  <c r="D16" i="90"/>
  <c r="C16" i="90"/>
  <c r="B16" i="90"/>
  <c r="F15" i="90"/>
  <c r="E15" i="90"/>
  <c r="D15" i="90"/>
  <c r="C15" i="90"/>
  <c r="B15" i="90"/>
  <c r="F14" i="90"/>
  <c r="E14" i="90"/>
  <c r="D14" i="90"/>
  <c r="C14" i="90"/>
  <c r="B14" i="90"/>
  <c r="F13" i="90"/>
  <c r="D13" i="90"/>
  <c r="C13" i="90"/>
  <c r="B13" i="90"/>
  <c r="F12" i="90"/>
  <c r="E12" i="90"/>
  <c r="D12" i="90"/>
  <c r="C12" i="90"/>
  <c r="B12" i="90"/>
  <c r="E11" i="90"/>
  <c r="B11" i="90"/>
  <c r="C23" i="89"/>
  <c r="D23" i="89"/>
  <c r="F23" i="89"/>
  <c r="C22" i="89"/>
  <c r="F22" i="89"/>
  <c r="C21" i="89"/>
  <c r="D21" i="89"/>
  <c r="F21" i="89"/>
  <c r="C20" i="89"/>
  <c r="D20" i="89"/>
  <c r="E20" i="89"/>
  <c r="C19" i="89"/>
  <c r="D19" i="89"/>
  <c r="C18" i="89"/>
  <c r="D18" i="89"/>
  <c r="F18" i="89"/>
  <c r="C17" i="89"/>
  <c r="D17" i="89"/>
  <c r="E17" i="89"/>
  <c r="C15" i="89"/>
  <c r="D15" i="89"/>
  <c r="E15" i="89"/>
  <c r="C14" i="89"/>
  <c r="D14" i="89"/>
  <c r="F14" i="89"/>
  <c r="C13" i="89"/>
  <c r="D13" i="89"/>
  <c r="E13" i="89"/>
  <c r="F13" i="89"/>
  <c r="E12" i="89"/>
  <c r="B24" i="89"/>
  <c r="B23" i="89"/>
  <c r="B22" i="89"/>
  <c r="B21" i="89"/>
  <c r="B20" i="89"/>
  <c r="B19" i="89"/>
  <c r="B18" i="89"/>
  <c r="B17" i="89"/>
  <c r="B16" i="89"/>
  <c r="B15" i="89"/>
  <c r="B14" i="89"/>
  <c r="B13" i="89"/>
  <c r="B12" i="89"/>
  <c r="B23" i="87"/>
  <c r="B22" i="87"/>
  <c r="B21" i="87"/>
  <c r="B20" i="87"/>
  <c r="B19" i="87"/>
  <c r="B18" i="87"/>
  <c r="B17" i="87"/>
  <c r="B16" i="87"/>
  <c r="B15" i="87"/>
  <c r="B14" i="87"/>
  <c r="B13" i="87"/>
  <c r="B12" i="87"/>
  <c r="B11" i="87"/>
  <c r="B23" i="86"/>
  <c r="B22" i="86"/>
  <c r="B21" i="86"/>
  <c r="B20" i="86"/>
  <c r="B19" i="86"/>
  <c r="B18" i="86"/>
  <c r="B17" i="86"/>
  <c r="B16" i="86"/>
  <c r="B15" i="86"/>
  <c r="B14" i="86"/>
  <c r="B13" i="86"/>
  <c r="B12" i="86"/>
  <c r="B11" i="86"/>
  <c r="E15" i="87" l="1"/>
  <c r="C15" i="87" l="1"/>
  <c r="E15" i="86"/>
  <c r="D15" i="86"/>
  <c r="D15" i="87"/>
  <c r="C15" i="86" l="1"/>
  <c r="C33" i="74" l="1"/>
  <c r="C34" i="74"/>
  <c r="C35" i="74"/>
  <c r="C36" i="74"/>
  <c r="C37" i="74"/>
  <c r="C38" i="74"/>
  <c r="C32" i="74"/>
  <c r="C16" i="74"/>
  <c r="C15" i="74"/>
  <c r="D11" i="90" l="1"/>
  <c r="D12" i="89"/>
  <c r="F11" i="90"/>
  <c r="F12" i="89"/>
  <c r="D22" i="86" l="1"/>
  <c r="D22" i="87"/>
  <c r="C42" i="74" l="1"/>
  <c r="C43" i="74"/>
  <c r="C44" i="74"/>
  <c r="C45" i="74"/>
  <c r="C46" i="74"/>
  <c r="C47" i="74"/>
  <c r="C48" i="74"/>
  <c r="C41" i="74"/>
  <c r="C40" i="74"/>
  <c r="C39" i="74"/>
  <c r="C19" i="78"/>
  <c r="C132" i="72" l="1"/>
  <c r="C148" i="72" s="1"/>
  <c r="C28" i="80"/>
  <c r="D20" i="86"/>
  <c r="D21" i="86"/>
  <c r="D16" i="86"/>
  <c r="F24" i="89"/>
  <c r="F25" i="89" s="1"/>
  <c r="F23" i="90"/>
  <c r="F24" i="90" s="1"/>
  <c r="D24" i="89"/>
  <c r="D25" i="89" s="1"/>
  <c r="D23" i="90"/>
  <c r="D24" i="90" s="1"/>
  <c r="E18" i="87"/>
  <c r="F20" i="86"/>
  <c r="F20" i="87"/>
  <c r="F17" i="87"/>
  <c r="F17" i="86"/>
  <c r="F21" i="87"/>
  <c r="F21" i="86"/>
  <c r="E16" i="86"/>
  <c r="E16" i="87"/>
  <c r="D17" i="87"/>
  <c r="D17" i="86"/>
  <c r="E14" i="89"/>
  <c r="E25" i="89" s="1"/>
  <c r="E13" i="90"/>
  <c r="E24" i="90" s="1"/>
  <c r="C16" i="78"/>
  <c r="C23" i="78" s="1"/>
  <c r="D21" i="87" l="1"/>
  <c r="D20" i="87"/>
  <c r="D16" i="87"/>
  <c r="C16" i="86"/>
  <c r="D19" i="87"/>
  <c r="C23" i="90"/>
  <c r="C24" i="89"/>
  <c r="F22" i="87"/>
  <c r="F22" i="86"/>
  <c r="F23" i="87"/>
  <c r="F23" i="86"/>
  <c r="D23" i="87"/>
  <c r="D23" i="86"/>
  <c r="F13" i="86"/>
  <c r="F13" i="87"/>
  <c r="E18" i="86"/>
  <c r="E19" i="87"/>
  <c r="E19" i="86"/>
  <c r="C21" i="87"/>
  <c r="C21" i="86"/>
  <c r="D18" i="86"/>
  <c r="D18" i="87"/>
  <c r="C18" i="86"/>
  <c r="C18" i="87"/>
  <c r="D13" i="87"/>
  <c r="D13" i="86"/>
  <c r="F12" i="86"/>
  <c r="F12" i="87"/>
  <c r="D12" i="86"/>
  <c r="D12" i="87"/>
  <c r="E11" i="86"/>
  <c r="E11" i="87"/>
  <c r="D11" i="86"/>
  <c r="D11" i="87"/>
  <c r="F11" i="86"/>
  <c r="F11" i="87"/>
  <c r="C11" i="90"/>
  <c r="C12" i="89"/>
  <c r="D14" i="87"/>
  <c r="D14" i="86"/>
  <c r="E12" i="86"/>
  <c r="E12" i="87"/>
  <c r="E13" i="87"/>
  <c r="E13" i="86"/>
  <c r="E14" i="87"/>
  <c r="E14" i="86"/>
  <c r="C22" i="86" l="1"/>
  <c r="C22" i="87"/>
  <c r="C20" i="86"/>
  <c r="C20" i="87"/>
  <c r="C24" i="90"/>
  <c r="C16" i="87"/>
  <c r="D19" i="86"/>
  <c r="D24" i="86" s="1"/>
  <c r="C25" i="89"/>
  <c r="C23" i="86"/>
  <c r="C23" i="87"/>
  <c r="F24" i="86"/>
  <c r="C17" i="87"/>
  <c r="C17" i="86"/>
  <c r="C19" i="86"/>
  <c r="C19" i="87"/>
  <c r="E24" i="86"/>
  <c r="F24" i="87"/>
  <c r="C13" i="86"/>
  <c r="C13" i="87"/>
  <c r="E24" i="87"/>
  <c r="C12" i="86"/>
  <c r="C12" i="87"/>
  <c r="D24" i="87"/>
  <c r="C11" i="87"/>
  <c r="C11" i="86"/>
  <c r="C14" i="87"/>
  <c r="C14" i="86"/>
  <c r="C24" i="86" l="1"/>
  <c r="C24" i="87"/>
</calcChain>
</file>

<file path=xl/sharedStrings.xml><?xml version="1.0" encoding="utf-8"?>
<sst xmlns="http://schemas.openxmlformats.org/spreadsheetml/2006/main" count="1816" uniqueCount="501">
  <si>
    <t>Savivaldybės administracijos direktorius (Savivaldybės tarybos funkcijoms)</t>
  </si>
  <si>
    <t>Kaišiadorių rajono priešgaisrinės tarnybos viršininkas</t>
  </si>
  <si>
    <t>Kaišiadorių lopšelio-darželio „Spindulys“ direktorius</t>
  </si>
  <si>
    <t>2.13.</t>
  </si>
  <si>
    <t>2.15.</t>
  </si>
  <si>
    <t>2.16.</t>
  </si>
  <si>
    <t>2.17.</t>
  </si>
  <si>
    <t>2.19.</t>
  </si>
  <si>
    <t>2.20.</t>
  </si>
  <si>
    <t>Kaišiadorių r. Rumšiškių  lopšelio-darželio direktorius</t>
  </si>
  <si>
    <t>Kaišiadorių r. Palomenės pagrindinės mokyklos direktorius</t>
  </si>
  <si>
    <t>Dotacijos paskirties pavadinimas</t>
  </si>
  <si>
    <t>gyvenamosios vietos deklaravimo duomenų ir gyvenamosios vietos neturinčių asmenų apskaitos duomenims tvarkyti</t>
  </si>
  <si>
    <t>1.2.</t>
  </si>
  <si>
    <t>1.3.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</si>
  <si>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</si>
  <si>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</si>
  <si>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</si>
  <si>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</si>
  <si>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</si>
  <si>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</si>
  <si>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</si>
  <si>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</si>
  <si>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</si>
  <si>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1.15.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</si>
  <si>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</si>
  <si>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</si>
  <si>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</si>
  <si>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</si>
  <si>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</si>
  <si>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</si>
  <si>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</si>
  <si>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</si>
  <si>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</si>
  <si>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</si>
  <si>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</si>
  <si>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</si>
  <si>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3.1.</t>
  </si>
  <si>
    <t>3.2.</t>
  </si>
  <si>
    <t>3.3.</t>
  </si>
  <si>
    <t>3.4.</t>
  </si>
  <si>
    <t>3.5.</t>
  </si>
  <si>
    <t>3.6.</t>
  </si>
  <si>
    <t>3.7.</t>
  </si>
  <si>
    <t>3.8.</t>
  </si>
  <si>
    <t>4.1.</t>
  </si>
  <si>
    <t>4.2.</t>
  </si>
  <si>
    <t>4.3.</t>
  </si>
  <si>
    <t>4.4.</t>
  </si>
  <si>
    <t>5.1.</t>
  </si>
  <si>
    <t>6.1.</t>
  </si>
  <si>
    <t>6.2.</t>
  </si>
  <si>
    <t>4.8.</t>
  </si>
  <si>
    <t>4.9.</t>
  </si>
  <si>
    <t>4.10.</t>
  </si>
  <si>
    <t>4.11.</t>
  </si>
  <si>
    <t>4.12.</t>
  </si>
  <si>
    <t>Priešgaisrinės tarnybos viršininkas</t>
  </si>
  <si>
    <t>polderiams eksploatuoti</t>
  </si>
  <si>
    <t xml:space="preserve">jaunimo teisių apsaugai </t>
  </si>
  <si>
    <t>socialinei paramai mokiniams kitiems asignavimų valdytojams</t>
  </si>
  <si>
    <t>klasės specialiųjų ugdymosi poreikių  turintiems mokiniams</t>
  </si>
  <si>
    <t>mokyklos specialiųjų ugdymosi poreikių turintiems mokiniams</t>
  </si>
  <si>
    <t>Tūkst. Eur</t>
  </si>
  <si>
    <t xml:space="preserve">ASIGNAVIMAI IŠ VALSTYBĖS BIUDŽETO SPECIALIOS TIKSLINĖS DOTACIJOS </t>
  </si>
  <si>
    <t>ASIGNAVIMAI IŠ BIUDŽETINIŲ ĮSTAIGŲ PAJAMŲ ĮMOKŲ</t>
  </si>
  <si>
    <t>5.2.</t>
  </si>
  <si>
    <t>5.3.</t>
  </si>
  <si>
    <t xml:space="preserve">Asignavimų valdytojas </t>
  </si>
  <si>
    <t>1.1.</t>
  </si>
  <si>
    <t>1.4.</t>
  </si>
  <si>
    <t>Kaišiadorių r. Žiežmarių gimnazijos direktorius</t>
  </si>
  <si>
    <t>Kaišiadorių Vaclovo Giržado progimnazijos direktorius</t>
  </si>
  <si>
    <t>Kaišiadorių r. Žaslių pagrindinės mokyklos direktorius</t>
  </si>
  <si>
    <t>Iš viso</t>
  </si>
  <si>
    <t>Kaišiadorių r. Gudienos mokyklos-darželio „Rugelis“ direktorius</t>
  </si>
  <si>
    <t xml:space="preserve">Iš viso </t>
  </si>
  <si>
    <t>PATVIRTINTA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</si>
  <si>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</si>
  <si>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</si>
  <si>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</si>
  <si>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</si>
  <si>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</si>
  <si>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</si>
  <si>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</si>
  <si>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</si>
  <si>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</si>
  <si>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</si>
  <si>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</si>
  <si>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</si>
  <si>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Iš viso  asignavimų iš dotacijų</t>
  </si>
  <si>
    <t>Iš viso už prekes ir paslaugas</t>
  </si>
  <si>
    <t>3.9.</t>
  </si>
  <si>
    <t>4.5.</t>
  </si>
  <si>
    <t>4.6.</t>
  </si>
  <si>
    <t>4.7.</t>
  </si>
  <si>
    <t>Asignavimų valdytojas</t>
  </si>
  <si>
    <t>Kaišiadorių r. Rumšiškių Antano Baranausko gimnazijos direktorius</t>
  </si>
  <si>
    <t>Kaišiadorių meno mokyklos direktorius</t>
  </si>
  <si>
    <t>Kaišiadorių kultūros centro direktorius</t>
  </si>
  <si>
    <t>Kruonio kultūros centro direktorius</t>
  </si>
  <si>
    <t>Palomenės kultūros centro direktorius</t>
  </si>
  <si>
    <t>Rumšiškių kultūros centro direktorius</t>
  </si>
  <si>
    <t>Žaslių kultūros centro direktorius</t>
  </si>
  <si>
    <t>Žiežmarių kultūros centro direktorius</t>
  </si>
  <si>
    <t>Kaišiadorių socialinių paslaugų centro direktorius</t>
  </si>
  <si>
    <t>Kaišiadorių rajono savivaldybės visuomenės sveikatos biuro direktorius</t>
  </si>
  <si>
    <t>ASIGNAVIMAI IŠ NEPANAUDOTŲ TIKSLINĖS PASKIRTIES LĖŠŲ</t>
  </si>
  <si>
    <t>Kaišiadorių lopšelio-darželio „Žvaigždutė“ direktorius</t>
  </si>
  <si>
    <t>1.14.</t>
  </si>
  <si>
    <t>1.16.</t>
  </si>
  <si>
    <t>iš viso</t>
  </si>
  <si>
    <t>žemės ūkio funkcijoms vykdyti</t>
  </si>
  <si>
    <t>Savivaldybės administracijos direktorius</t>
  </si>
  <si>
    <t>Savivaldybės kontrolierius</t>
  </si>
  <si>
    <t>Kaišiadorių miesto seniūnas</t>
  </si>
  <si>
    <t>Kruonio seniūnas</t>
  </si>
  <si>
    <t>Dividendai</t>
  </si>
  <si>
    <t>Pastatų ir statinių realizavimo pajamos</t>
  </si>
  <si>
    <t>Palomenės seniūnas</t>
  </si>
  <si>
    <t>Paparčių seniūnas</t>
  </si>
  <si>
    <t>Pravieniškių seniūnas</t>
  </si>
  <si>
    <t>Rumšiškių seniūnas</t>
  </si>
  <si>
    <t>Žaslių seniūnas</t>
  </si>
  <si>
    <t>Kaišiadorių r. Pravieniškių lopšelio-darželio „Ąžuoliukas“ direktorius</t>
  </si>
  <si>
    <t>Kaišiadorių Algirdo Brazausko gimnazijos direktorius</t>
  </si>
  <si>
    <t>Nemaitonių seniūnas</t>
  </si>
  <si>
    <t>Žiežmarių seniūnas</t>
  </si>
  <si>
    <t>iš jų</t>
  </si>
  <si>
    <t>išlaidoms</t>
  </si>
  <si>
    <t>turtui įsigyti</t>
  </si>
  <si>
    <t>darbo užmokesčiui</t>
  </si>
  <si>
    <t>Kaišiadorių rajono savivaldybės tarybos</t>
  </si>
  <si>
    <t>Iš viso asignavimų</t>
  </si>
  <si>
    <t>Pajamos</t>
  </si>
  <si>
    <t>MOKESČIAI</t>
  </si>
  <si>
    <t>Gyventojų pajamų mokestis</t>
  </si>
  <si>
    <t xml:space="preserve">Turto mokesčiai </t>
  </si>
  <si>
    <t>Žemės mokestis</t>
  </si>
  <si>
    <t>Paveldimo turto mokestis</t>
  </si>
  <si>
    <t>Nekilnojamojo turto mokestis</t>
  </si>
  <si>
    <t>Prekių ir paslaugų mokesčiai</t>
  </si>
  <si>
    <t>KITOS PAJAMOS</t>
  </si>
  <si>
    <t>Turto pajamos</t>
  </si>
  <si>
    <t>Kitos neišvardytos pajamos</t>
  </si>
  <si>
    <t>Ilgalaikio materialiojo turto realizavimo pajamos</t>
  </si>
  <si>
    <t>Įmokos už išlaikymą švietimo, socialinės apsaugos ir kitose įstaigose</t>
  </si>
  <si>
    <t>13.</t>
  </si>
  <si>
    <t>Mokesčiai už aplinkos teršimą</t>
  </si>
  <si>
    <t>Kiti mokesčiai už valstybinius gamtos išteklius</t>
  </si>
  <si>
    <t>Pajamos už prekes ir paslaugas</t>
  </si>
  <si>
    <t>KITOS DOTACIJOS</t>
  </si>
  <si>
    <t>DOTACIJOS</t>
  </si>
  <si>
    <t>BIUDŽETINIŲ ĮSTAIGŲ PAJAMŲ ĮMOKOS</t>
  </si>
  <si>
    <t>Kaišiadorių r. Žiežmarių mokyklos-darželio„Vaikystės dvaras“ direktorius</t>
  </si>
  <si>
    <t>Kaišiadorių r. Žiežmarių mokyklos-darželio „Vaikystės dvaras“ direktorius</t>
  </si>
  <si>
    <t>neveiksnių asmenų būklės peržiūrėjimo funkcijai atlikti</t>
  </si>
  <si>
    <t>socialinėms paslaugoms</t>
  </si>
  <si>
    <t>Europos Sąjungos finansinės paramos lėšos</t>
  </si>
  <si>
    <t>2.18.</t>
  </si>
  <si>
    <t>VALSTYBĖS BIUDŽETO SPECIALIOS TIKSLINĖS DOTACIJOS</t>
  </si>
  <si>
    <t>IŠ NEPANAUDOTŲ EUROPOS SĄJUNGOS FINANSINĖS PARAMOS LĖŠŲ</t>
  </si>
  <si>
    <t>ASIGNAVIMAI IŠ NEPANAUDOTŲ BIUDŽETINIŲ ĮSTAIGŲ PAJAMŲ ĮMOKŲ</t>
  </si>
  <si>
    <t>Kaišiadorių apylinkės seniūnas</t>
  </si>
  <si>
    <t>Žiežmarių apylinkės seniūnas</t>
  </si>
  <si>
    <t>1.17.</t>
  </si>
  <si>
    <t>Biudžetinių įstaigų pajamos už prekes ir paslaugas</t>
  </si>
  <si>
    <t>Pajamos už ilgalaikio ir trumpalaikio materialiojo turto nuomą</t>
  </si>
  <si>
    <t>Nuomos mokestis už valstybinę žemę</t>
  </si>
  <si>
    <t>Pajamos iš baudų, konfiskuoto turto ir kitų netesybų</t>
  </si>
  <si>
    <t>Žemės realizavimo pajamos</t>
  </si>
  <si>
    <t>2.1.2.</t>
  </si>
  <si>
    <t>2.1.1.</t>
  </si>
  <si>
    <t>1.1.1.</t>
  </si>
  <si>
    <t>1.2.1</t>
  </si>
  <si>
    <t>1.2.2.</t>
  </si>
  <si>
    <t>1.2.3.</t>
  </si>
  <si>
    <t>1.3.1.</t>
  </si>
  <si>
    <t>ES lėšų paskirties pavadinimas</t>
  </si>
  <si>
    <t>Komunalinių atliekų tvarkymo infrastruktūros plėtra Kaišiadorių rajono savivaldybėje</t>
  </si>
  <si>
    <t>IŠ PAJAMŲ DALIES SPECIALIOSIOMS IR TIKSLINĖMS PROGRAMOMS FINANSUOTI</t>
  </si>
  <si>
    <t>Mokesčiai už valstybinius gamtos išteklius</t>
  </si>
  <si>
    <t>Iš viso socialinėms paslaugoms</t>
  </si>
  <si>
    <t>Iš viso socialinei paramai mokiniams</t>
  </si>
  <si>
    <t xml:space="preserve">Gyventojų pajamų mokestis </t>
  </si>
  <si>
    <t>Palūkanos</t>
  </si>
  <si>
    <t>2.1.3.</t>
  </si>
  <si>
    <t>2.1.4.</t>
  </si>
  <si>
    <t>2.1.4.1.</t>
  </si>
  <si>
    <t>2.1.4.2.</t>
  </si>
  <si>
    <t>Mokesčiai už medžiojamųjų gyvūnų išteklius</t>
  </si>
  <si>
    <t>Valstybės rinkliava</t>
  </si>
  <si>
    <t>Vietinė rinkliava</t>
  </si>
  <si>
    <t>Rinkliavos</t>
  </si>
  <si>
    <t>2.2.1.</t>
  </si>
  <si>
    <t>2.2.2.</t>
  </si>
  <si>
    <t>2.2.3.</t>
  </si>
  <si>
    <t>2.2.4.</t>
  </si>
  <si>
    <t>2.2.4.1.</t>
  </si>
  <si>
    <t>2.2.4.2.</t>
  </si>
  <si>
    <t>3. MATERIALIOJO IR NEMATERIALIOJO TURTO REALIZAVIMO PAJAMOS</t>
  </si>
  <si>
    <t>3.1.1.</t>
  </si>
  <si>
    <t>3.1.2.</t>
  </si>
  <si>
    <t>IŠ VISO MOKESČIŲ IR KITŲ PAJAMŲ</t>
  </si>
  <si>
    <t>IŠ VISO MATERIALIOJO IR NEMATERIALIOJO TURTO REALIZAVIMO PAJAMŲ</t>
  </si>
  <si>
    <t>Valstybinėms (valstybės perduotoms savivaldybėms) funkcijoms atlikti, iš jų:</t>
  </si>
  <si>
    <t>Savivaldybių mokykloms (klasėms arba grupėms), skirtoms šalies (regiono) mokiniams, turintiems specialiųjų ugdymosi poreikių, ir kitoms savivaldybėms perduotoms įstaigoms išlaikyti</t>
  </si>
  <si>
    <t>duomenims į Suteiktos valstybės pagalbos ir nereikšmingos pagalbos registrą teikti</t>
  </si>
  <si>
    <t>savivaldybių patvirtintoms užimtumo didinimo programoms įgyvendinti</t>
  </si>
  <si>
    <t>neveiksnių asmenų būklės peržiūrėjimui užtikrinti</t>
  </si>
  <si>
    <t>KITI FINANSAVIMO ŠALTINIAI</t>
  </si>
  <si>
    <t>Skolintos lėšos</t>
  </si>
  <si>
    <t>6.2.1.</t>
  </si>
  <si>
    <t>Aplinkos apsaugos rėmimo spec. programa</t>
  </si>
  <si>
    <t>6.2.2.</t>
  </si>
  <si>
    <t>Biudžetinių įstaigų pajamos už teikiamas paslaugas</t>
  </si>
  <si>
    <t>6.2.3.</t>
  </si>
  <si>
    <t>Kitos tikslinės paskirties lėšos</t>
  </si>
  <si>
    <t>6.2.4.</t>
  </si>
  <si>
    <t>6.2.5.</t>
  </si>
  <si>
    <t>Kreditoriniam įsiskolinimui padengti</t>
  </si>
  <si>
    <t>IŠ VISO KITŲ DOTACIJŲ</t>
  </si>
  <si>
    <t>IŠ VISO DOTACIJŲ</t>
  </si>
  <si>
    <t>IŠ VISO MOKESČIŲ, PAJAMŲ IR DOTACIJŲ</t>
  </si>
  <si>
    <t>Lėšų likučiai</t>
  </si>
  <si>
    <t>6.2.6.</t>
  </si>
  <si>
    <t>IŠ VISO VALSTYBĖS BIUDŽETO SPECIALIŲ TIKSLINIŲ DOTACIJŲ</t>
  </si>
  <si>
    <t>savivaldybės erdvinių duomenų rinkinio tvarkymo funkcijai atlikti</t>
  </si>
  <si>
    <t>UGDYMO REIKMĖMS FINANSUOTI</t>
  </si>
  <si>
    <t>Savivaldybės administracijos direktorius (TL)</t>
  </si>
  <si>
    <t>4.1.1.</t>
  </si>
  <si>
    <t>Eil. nr.</t>
  </si>
  <si>
    <t xml:space="preserve">Eil. nr. </t>
  </si>
  <si>
    <t>KAIŠIADORIŲ RAJONO SAVIVALDYBĖS 2020 METŲ BIUDŽETE NUMATYTI ASIGNAVIMAI</t>
  </si>
  <si>
    <t>Savivaldybės administracijos direktorius (ŽPL)</t>
  </si>
  <si>
    <t xml:space="preserve">     2020 m. vasario 27 d. sprendimu Nr. V17-</t>
  </si>
  <si>
    <t xml:space="preserve">           PATVIRTINTA</t>
  </si>
  <si>
    <t>PAGAL PROGRAMAS</t>
  </si>
  <si>
    <t>Programos pavadinimas</t>
  </si>
  <si>
    <t>PAGAL PROGRAMAS IŠ SAVIVALDYBĖS BIUDŽETO PROGNOZUOJAMŲ PAJAMŲ</t>
  </si>
  <si>
    <t xml:space="preserve">KAIŠIADORIŲ RAJONO SAVIVALDYBĖS 2020 METŲ BIUDŽETE NUMATYTI </t>
  </si>
  <si>
    <t>ASIGNAVIMAI PAGAL PROGRAMAS</t>
  </si>
  <si>
    <t xml:space="preserve">ASIGNAVIMAI PAGAL PROGRAMAS IŠ SAVIVALDYBĖS BIUDŽETO </t>
  </si>
  <si>
    <t xml:space="preserve"> PROGNOZUOJAMŲ PAJAMŲ</t>
  </si>
  <si>
    <t>Kaišiadorių suaugusiųjų  mokyklos direktorius</t>
  </si>
  <si>
    <t>savivaldybių viešosioms bibliotekoms dokumentams įsigyti</t>
  </si>
  <si>
    <t>Kaišiadorių suaugusiųjų mokyklos direktorius</t>
  </si>
  <si>
    <t>Kaišiadorių pedagoginės psichologinės tarnybos direktorius</t>
  </si>
  <si>
    <t>neformaliajam vaikų švietimui</t>
  </si>
  <si>
    <t>Lėšų paskirties pavadinimas</t>
  </si>
  <si>
    <t>įgyvendinti Socialinių paslaugų šakos kolektyvinės sutarties įsipareigojimus</t>
  </si>
  <si>
    <t>akredituotai vaikų dienos socialinei priežiūrai organizuoti, teikti</t>
  </si>
  <si>
    <t>Nepanaudota pajamų dalis</t>
  </si>
  <si>
    <t>dalyvauti rengiant ir vykdant mobilizaciją, demobilizaciją, priimančiosios šalies paramą</t>
  </si>
  <si>
    <t>valstybinės kalbos vartojimo ir taisyklingumo kontrolei</t>
  </si>
  <si>
    <t>vietinės reikšmės keliams (gatvėms) tiesti, taisyti (rekonstruoti), prižiūrėti ir saugaus eismo sąlygoms užtikrinti</t>
  </si>
  <si>
    <t>plėtoti sveiką gyvenseną bei stiprinti sveikos gyvensenos įgūdžius ugdymo įstaigose ir bendruomenėse, vykdyti visuomenės sveikatos stebėseną savivaldybėse</t>
  </si>
  <si>
    <t>visuomenės sveikatos priežiūros funkcijoms vykdyti, iš jų</t>
  </si>
  <si>
    <t>Ugdymo reikmėms finansuoti</t>
  </si>
  <si>
    <t>koordinuotai teikiamų paslaugų vaikams nuo gimimo iki 18 metų (turintiems didelių ir labai didelių specialiųjų ugdymosi poreikių iki 21 metų) ir vaiko atstovams koordinavimui finansuoti</t>
  </si>
  <si>
    <t>neformaliojo vaikų švietimo įvairovei, prieinamumui ir kokybei didinti</t>
  </si>
  <si>
    <t xml:space="preserve">civilinei saugai </t>
  </si>
  <si>
    <t>gyvenamosios vietos deklaravimo duomenų ir gyvenamosios vietos nedeklaravusių asmenų apskaitos duomenims tvarkyti</t>
  </si>
  <si>
    <t>žemės ūkio funkcijoms atlikti, iš jų</t>
  </si>
  <si>
    <t xml:space="preserve">1. </t>
  </si>
  <si>
    <t xml:space="preserve">ASIGNAVIMAI IŠ NEPANAUDOTŲ SAVIVALDYBĖS BIUDŽETO LĖŠŲ  </t>
  </si>
  <si>
    <t>KREDITORINIAM ĮSISKOLINIMUI PADENGTI</t>
  </si>
  <si>
    <t>Sklypo, esančio Pramonės g., Kaišiadoryse, pritaikymas gamybinei (komercinei) veiklai</t>
  </si>
  <si>
    <t>VALSTYBĖS BIUDŽETO SPECIALIŲ TIKSLINIŲ IR KITŲ DOTACIJŲ</t>
  </si>
  <si>
    <t>ASIGNAVIMAI IŠ SAVIVALDYBĖS BIUDŽETO PROGNOZUOJAMŲ PAJAMŲ</t>
  </si>
  <si>
    <t>iš jų GPM, mokamas už pajamas, gautas iš veiklos, kuria verčiamasi turint verslo liudijimą</t>
  </si>
  <si>
    <t>tūkst. Eur</t>
  </si>
  <si>
    <t>didinti darbo užmokestį socialinių paslaugų įstaigų ir socialinių paslaugų srities darbuotojams</t>
  </si>
  <si>
    <t>asmeninei pagalbai teikti</t>
  </si>
  <si>
    <t>asmeninei pagalbai administruoti</t>
  </si>
  <si>
    <t>asmeninei pagalbai teikti ir administruoti</t>
  </si>
  <si>
    <t>valstybei nuosavybės teise priklausančių melioracijos ir hidrotechnikos statinių valdymui ir naudojimui patikėjimo teise užtikrinti, iš jų</t>
  </si>
  <si>
    <t>valstybei nuosavybės teise priklausančių melioracijos ir hidrotechnikos statinių valdymui ir naudojimui patikėjimo teise užtikrinti</t>
  </si>
  <si>
    <t>2.21.</t>
  </si>
  <si>
    <t>2.22.</t>
  </si>
  <si>
    <t>2.23.</t>
  </si>
  <si>
    <t>2.24.</t>
  </si>
  <si>
    <t>2.25.</t>
  </si>
  <si>
    <t>2.26.</t>
  </si>
  <si>
    <t>Dividendai ir kitos pelno įmokos</t>
  </si>
  <si>
    <t>VĮ pelno įmokos</t>
  </si>
  <si>
    <t>2.1.2.1.</t>
  </si>
  <si>
    <t>2.1.2.2.</t>
  </si>
  <si>
    <t>iš jų už parduotą socialinį būstą</t>
  </si>
  <si>
    <t>2.27.</t>
  </si>
  <si>
    <t>3.10.</t>
  </si>
  <si>
    <t>Kaišiadorių švietimo ir sporto centro direktorius</t>
  </si>
  <si>
    <t>vienkartinėms išmokoms įsikurti gyvenamojoje vietoje savivaldybės teritorijoje ir (ar) mėnesinėms kompensacijoms vaiko ugdymo pagal ikimokyklinio ar priešmokyklinio ugdymo programą išlaidoms kompensuoti</t>
  </si>
  <si>
    <t>Kaišiadorių r. Kruonio pagrindinės mokyklos direktorius</t>
  </si>
  <si>
    <t>pirminės teisinės pagalbos funkcijai atlikti</t>
  </si>
  <si>
    <t>civilinės būklės aktų registravimo funkcijai atlikti</t>
  </si>
  <si>
    <t>gyventojų registro tvarkymo ir duomenų teikimo valstybės registrams funkcijai atlikti</t>
  </si>
  <si>
    <t>archyvinių dokumentų tvarkymo funkcijai atlikti</t>
  </si>
  <si>
    <t>plėtoti psichikos sveikatos stiprinimo, psichosocialinės pagalbos ir savižudybių prevencijos intervencijas</t>
  </si>
  <si>
    <t>būsto nuomos ar išperkamosios būsto nuomos mokesčio daliai kompensuoti</t>
  </si>
  <si>
    <t>socialinei paramai mokiniams teikti</t>
  </si>
  <si>
    <t>priešgaisrinės saugos funkcijai</t>
  </si>
  <si>
    <t>priešgaisrinei saugos funkcijai</t>
  </si>
  <si>
    <t>socialinėms išmokoms ir kompensacijoms skaičiuoti ir mokėti lėšų, skirtų kompensacijų Nepriklausomybės gynėjams, nukentėjusiems nuo 1991 m. sausio 11–13 d. ir po to vykdytos SSRS agresijos, bei jų šeimoms mokėjimui užtikrinti</t>
  </si>
  <si>
    <t>saugaus duomenų perdavimo kanalų priežiūrai užtikrinti</t>
  </si>
  <si>
    <t>savivaldybių erdvinių duomenų rinkinio tvarkymo funkcijai atlikti</t>
  </si>
  <si>
    <t>bendruomeninių šeimos namų funkcijų vykdymas</t>
  </si>
  <si>
    <t>2.1.5.</t>
  </si>
  <si>
    <t>Pajamos iš infrastruktūros plėtros įmokų</t>
  </si>
  <si>
    <t>Savivaldybės administracijos direktorius (paskolų, dotacijų grąžinimas ir palūkanų mokėjimas)</t>
  </si>
  <si>
    <t>akredituotai socialinei reabilitacijai neįgaliesiems bendruomenėje organizuoti, teikti ir administruoti</t>
  </si>
  <si>
    <t>kompensacijoms už būsto suteikimą užsieniečiams, pasitraukusiems iš Ukrainos dėl Rusijos Federacijos karinių veiksmų Ukrainoje, finansuoti</t>
  </si>
  <si>
    <t>Kaišiadorių bendrųjų funkcijų tarnybos direktorius</t>
  </si>
  <si>
    <t>Savivaldybės valdymo programa</t>
  </si>
  <si>
    <t>Sveikatos ir socialinės apsaugos programa</t>
  </si>
  <si>
    <t>1.18.</t>
  </si>
  <si>
    <t>1.19.</t>
  </si>
  <si>
    <t>1.20.</t>
  </si>
  <si>
    <t>1.21.</t>
  </si>
  <si>
    <t>1.22.</t>
  </si>
  <si>
    <t>1.23.</t>
  </si>
  <si>
    <t>1.24.</t>
  </si>
  <si>
    <t>Iš viso pajamų įmokų</t>
  </si>
  <si>
    <t>Investicijų, ūkio ir teritorijų planavimo programa</t>
  </si>
  <si>
    <t>Žemės ūkio ir aplinkos apsaugos programa</t>
  </si>
  <si>
    <t>Savivaldybės administracijos direktorius (Savivaldybės mero rezervas)</t>
  </si>
  <si>
    <t>Švietimo, kultūros ir sporto programa</t>
  </si>
  <si>
    <t>Kaišiadorių šventosios Faustinos ugdymo centro direktorius</t>
  </si>
  <si>
    <t>1.25.</t>
  </si>
  <si>
    <t>1.26.</t>
  </si>
  <si>
    <t>1.27.</t>
  </si>
  <si>
    <t>1.28.</t>
  </si>
  <si>
    <t>1.29.</t>
  </si>
  <si>
    <t>1.30.</t>
  </si>
  <si>
    <t>1.31.</t>
  </si>
  <si>
    <t>1.32.</t>
  </si>
  <si>
    <t>1.33.</t>
  </si>
  <si>
    <t xml:space="preserve">Kaišiadorių muziejaus direktorius </t>
  </si>
  <si>
    <t>1.34.</t>
  </si>
  <si>
    <t>3.11.</t>
  </si>
  <si>
    <t>3.12.</t>
  </si>
  <si>
    <t>3.13.</t>
  </si>
  <si>
    <t>3.14.</t>
  </si>
  <si>
    <t>3.15.</t>
  </si>
  <si>
    <t>3.16.</t>
  </si>
  <si>
    <t>3.17.</t>
  </si>
  <si>
    <t>3.18.</t>
  </si>
  <si>
    <t>3.19.</t>
  </si>
  <si>
    <t>3.20.</t>
  </si>
  <si>
    <t>1.35.</t>
  </si>
  <si>
    <t>1.36.</t>
  </si>
  <si>
    <t>1.37.</t>
  </si>
  <si>
    <t>1.38.</t>
  </si>
  <si>
    <t>1.39.</t>
  </si>
  <si>
    <t>1.40.</t>
  </si>
  <si>
    <t>1.41.</t>
  </si>
  <si>
    <t>1.42.</t>
  </si>
  <si>
    <t>1.43.</t>
  </si>
  <si>
    <t>1.44.</t>
  </si>
  <si>
    <t>1.45.</t>
  </si>
  <si>
    <t>1.46.</t>
  </si>
  <si>
    <t>Žemės ūkio ir aplinkos apsaugos  programa</t>
  </si>
  <si>
    <t>3.21.</t>
  </si>
  <si>
    <t>3.22.</t>
  </si>
  <si>
    <t>3.23.</t>
  </si>
  <si>
    <t xml:space="preserve">5. 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</si>
  <si>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</si>
  <si>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</si>
  <si>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</si>
  <si>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</si>
  <si>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</si>
  <si>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</si>
  <si>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</si>
  <si>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</si>
  <si>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</si>
  <si>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savivaldybėms priskirtos valstybinės žemės ir kito valstybės turto valdymui, naudojimui ir disponavimui juo patikėjimo teise užtikrinti</t>
  </si>
  <si>
    <t>civilinei saugai</t>
  </si>
  <si>
    <t xml:space="preserve">Žemės ūkio ir aplinkos apsaugos programa </t>
  </si>
  <si>
    <t xml:space="preserve">2. </t>
  </si>
  <si>
    <t xml:space="preserve">2.1 </t>
  </si>
  <si>
    <t>2.3</t>
  </si>
  <si>
    <t>3.3</t>
  </si>
  <si>
    <t>Savivaldybės administracijos direktorius (SL)</t>
  </si>
  <si>
    <t>Savivaldybės administracijos direktorius (KIL)</t>
  </si>
  <si>
    <t>3.24.</t>
  </si>
  <si>
    <t>3.25.</t>
  </si>
  <si>
    <t>3.26.</t>
  </si>
  <si>
    <t>3.27.</t>
  </si>
  <si>
    <t>1.43</t>
  </si>
  <si>
    <t xml:space="preserve">4. </t>
  </si>
  <si>
    <t xml:space="preserve">4.1. </t>
  </si>
  <si>
    <t>socialinėms išmokoms ir kompensacijoms skaičiuoti ir mokėti, skirtų kompensacijų Nepriklausomybės gynėjams, nukentėjusiems nuo 1991 m. sausio 11–13 d. ir po to vykdytos SSRS agresijos, bei jų šeimoms mokėjimui užtikrinti</t>
  </si>
  <si>
    <t>socialinėms išmokoms ir kompensacijoms mokėti, skirtų paramai mirties atveju užtikrinti</t>
  </si>
  <si>
    <t>bendruomeninei veiklai stiprinti, įgyvendinant bandomąjį modelį</t>
  </si>
  <si>
    <t>organizuoti būsto ir jo aplinkos pritaikymą asmenims su negalia</t>
  </si>
  <si>
    <t>profesiniam orientavimui vykdyti</t>
  </si>
  <si>
    <t xml:space="preserve">akredituotai vaikų dienos socialinei priežiūrai organizuoti, teikti ir administruoti </t>
  </si>
  <si>
    <t>2.14.</t>
  </si>
  <si>
    <t>papildomoms pagalbos mokiniui specialistų pareigybėms regioniniuose specialiojo ugdymo centruose konsultavimo funkcijoms vykdyti</t>
  </si>
  <si>
    <t>Kitos dotacijos ir lėšos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</si>
  <si>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</si>
  <si>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</si>
  <si>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</si>
  <si>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</si>
  <si>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</si>
  <si>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</si>
  <si>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</si>
  <si>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</si>
  <si>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</si>
  <si>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</si>
  <si>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</si>
  <si>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</si>
  <si>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</si>
  <si>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</si>
  <si>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</si>
  <si>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</si>
  <si>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</si>
  <si>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</si>
  <si>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</si>
  <si>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</si>
  <si>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</si>
  <si>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</si>
  <si>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Komunalinių atliekų tvarkymo infrastruktūros plėtra Kaišiadorių rajono savivaldybėje (ES)</t>
  </si>
  <si>
    <t>Komunalinių atliekų tvarkymo infrastruktūros plėtra Kaišiadorių rajono savivaldybėje (VDP)</t>
  </si>
  <si>
    <t>5.13.</t>
  </si>
  <si>
    <t>valstybinių ir savivaldybių mokyklų mokytojų, dirbančių pagal ikimokyklinio, priešmokyklinio, bendrojo ugdymo ir profesinio mokymo programas, personalo optimizavimui ir atnaujinimui</t>
  </si>
  <si>
    <t>laikino atokvėpio paslaugai teikti ir administruoti</t>
  </si>
  <si>
    <t>pedagoginių darbuotojų padidintam darbo užmokesčiui</t>
  </si>
  <si>
    <t>pedagoginių darbuotojų darbo užmokesčiui didinti</t>
  </si>
  <si>
    <t>socialinėms išmokoms ir kompensacijoms mokėti, skirtos paramai mirties atveju užtikrinti</t>
  </si>
  <si>
    <t>Kaišiadorių rajono savivaldybės tarybos 2025 m. vasario 20 d. sprendimu Nr. V17E-</t>
  </si>
  <si>
    <t xml:space="preserve">KAIŠIADORIŲ RAJONO SAVIVALDYBĖS 2025 METŲ BIUDŽETE NUMATYTI ASIGNAVIMAI IŠ SKOLINTŲ LĖŠŲ </t>
  </si>
  <si>
    <t>Kaišiadorių Jono Aisčio viešosios bibliotekos direktorius</t>
  </si>
  <si>
    <t>3.7</t>
  </si>
  <si>
    <t xml:space="preserve">Projekto „Perėjimas nuo institucinės globos prie bendruomeninių paslaugų sostinės regione, Vidurio ir Vakarų Lietuvos regione“ įgyvendinimas </t>
  </si>
  <si>
    <t>Nr. V17E-</t>
  </si>
  <si>
    <t>iš jų pajamos už valstybinės žemės nuomininkų mokamą atlyginimą už galimybę statyti valstybinėje žemėje naujus ir (ar) rekonstruoti esamus statinius ar įrenginius</t>
  </si>
  <si>
    <t>akredituotai vaikų dienos socialinei priežiūrai organizuoti, teikti ir administruoti</t>
  </si>
  <si>
    <t>asmenų su negalia reikalų koordinavimo funkcijai</t>
  </si>
  <si>
    <t>savivaldybės teritorijoje esančių miestų ir miestelių teritorijų ribose valstybinės žemės, perduotos LRV nutarimu, patikėtinio funkcijai atlikti</t>
  </si>
  <si>
    <t>socialinei paramai mokiniams</t>
  </si>
  <si>
    <t>išlaidoms už mokinių, atvykusių į Lietuvos Respubliką iš Ukrainos, ugdymą pagal ikimokyklinio, priešmokyklinio ir bendrojo ugdymo programas</t>
  </si>
  <si>
    <t>ilgalaikiam materialiajam ir nematerialiajam turtui sukurti</t>
  </si>
  <si>
    <t>projektui „Kaišiadorių miesto kultūros infrastruktūros optimizavimas, sukuriant multifunkcinę erdvę, pritaikytą vietos bendruomenės poreikiams (II etapas)“ įgyvendinti</t>
  </si>
  <si>
    <t>IŠ SKOLINTŲ LĖŠŲ</t>
  </si>
  <si>
    <t xml:space="preserve">Projekto „Ugdymo prieinamumo didinimas ir plėtojimas Kaišiadorių rajono savivaldybėje“ įgyvendinimas </t>
  </si>
  <si>
    <t xml:space="preserve">2.1. </t>
  </si>
  <si>
    <t>Projekto „Socialinės priežiūros socialinių paslaugų plėtra Kaišiadorių rajono savivaldybėje“ įgyvendinimas</t>
  </si>
  <si>
    <t xml:space="preserve">3.1. </t>
  </si>
  <si>
    <t>Projekto „Žaliosios infrastruktūros urbanizuotoje Kaišiadorių miesto dalyje plėtojimas“ įgyvendinimas</t>
  </si>
  <si>
    <t>Gydymo paskirties pastato Gedimino g. 48, Kaišiadoryse kapitalinio remonto projektas (I-as etapas), keičiant pastato paskirtį į administracinės paskirties pastatą</t>
  </si>
  <si>
    <t>Projekto „Kaišiadorių rajono savivaldybės turizmo objektų pritaikymas lankymui“ įgyvendinimas</t>
  </si>
  <si>
    <t xml:space="preserve">Iš viso asignavimų </t>
  </si>
  <si>
    <t>iš jų valstybės biudžeto lėšos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</si>
  <si>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</si>
  <si>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</si>
  <si>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</si>
  <si>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</si>
  <si>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</si>
  <si>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</si>
  <si>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</si>
  <si>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</si>
  <si>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</si>
  <si>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</si>
  <si>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5.2.13.</t>
  </si>
  <si>
    <t>5.2.14.</t>
  </si>
  <si>
    <t>5.2.15.</t>
  </si>
  <si>
    <t>5.2.16.</t>
  </si>
  <si>
    <t>5.2.17.</t>
  </si>
  <si>
    <t>5.2.18.</t>
  </si>
  <si>
    <t>(Kaišiadorių rajono savivaldybės tarybos 2025 m. gruodžio 18 d. sprendimo Nr. V17E- redakcija)</t>
  </si>
  <si>
    <t xml:space="preserve">Projekto ,,Geriamojo vandens tiekimo ir nuotekų tvarkymo paslaugų prieinamumo didinimas Kaišiadorių rajono savivaldybėje“ vykdymas </t>
  </si>
  <si>
    <t>KAIŠIADORIŲ RAJONO SAVIVALDYBĖS 2026 METŲ BIUDŽETE NUMATYTI ASIGNAVIMAI</t>
  </si>
  <si>
    <t>Kaišiadorių rajono savivaldybės tarybos 2026 m. vasario 19 d. sprendimu Nr. V17E-</t>
  </si>
  <si>
    <t>KAIŠIADORIŲ RAJONO SAVIVALDYBĖS 2026 METŲ BIUDŽETO PAJAMOS</t>
  </si>
  <si>
    <t>KAIŠIADORIŲ RAJONO SAVIVALDYBĖS 2026 METŲ BIUDŽETE NUMATYTOS</t>
  </si>
  <si>
    <t xml:space="preserve">2026 m. vasario 19 d. sprendimu </t>
  </si>
  <si>
    <t>2026 m. vasario 19 d. sprendimu Nr. V17E-</t>
  </si>
  <si>
    <t>KAIŠIADORIŲ RAJONO SAVIVALDYBĖS 2026 METŲ BIUDŽETE NUMATYTI</t>
  </si>
  <si>
    <t xml:space="preserve">KAIŠIADORIŲ RAJONO SAVIVALDYBĖS 2026 METŲ BIUDŽETE NUMATYTI </t>
  </si>
  <si>
    <t xml:space="preserve">KAIŠIADORIŲ RAJONO SAVIVALDYBĖS 2026 METŲ BIUDŽETE NUMATYTI ASIGNAVIMAI IŠ </t>
  </si>
  <si>
    <t>KAIŠIADORIŲ RAJONO SAVIVALDYBĖS 2026 METŲ BIUDŽETO ASIGNAVIMAI</t>
  </si>
  <si>
    <t>Žiežmarių seniūnas (KIL)</t>
  </si>
  <si>
    <t>Kaišiadorių miesto kultūros infrastruktūros optimizavimas, sukuriant multifunkcinę erdvę, pritaikytą vietos bendruomenės poreikiams (II etapas - muziejaus statyba)</t>
  </si>
  <si>
    <t xml:space="preserve">Projekto „Visos dienos mokyklos paslaugų prieinamumo didinimas Kaišiadorių ir Kėdainių rajono savivaldybėse“ įgyvendinimas </t>
  </si>
  <si>
    <t>iš jų valstybės biudžeto lėšų likutis</t>
  </si>
  <si>
    <t>Projekto „Sveikatos centro sudėtyje teikiamų sveikatos priežiūros paslaugų infrastruktūros modernizavimas Kaišiadorių rajono savivaldybėje“ įgyvendinimas</t>
  </si>
  <si>
    <t>iš jų VšĮ „Laisvi vaikai“</t>
  </si>
  <si>
    <t xml:space="preserve">5.2.11. </t>
  </si>
  <si>
    <t>5.2.12.</t>
  </si>
  <si>
    <t>3.28.</t>
  </si>
  <si>
    <t>IŠ EUROPOS SĄJUNGOS FINANSINĖS PARAMOS LĖŠŲ</t>
  </si>
  <si>
    <t xml:space="preserve">Projekto ,,Informacinių technologijų ir techninės kūrybos projektas Kaišiadorių, Jonavos ir Raseinių rajonų savivaldybėse“ įgyvendinimas </t>
  </si>
  <si>
    <t xml:space="preserve">Projekto „Perėjimas nuo institucinės globos prie bendruomeninių paslaugų Sostinės regione, Vidurio ir vakarų Lietuvos regione“ įgyvendinimas </t>
  </si>
  <si>
    <t>Projekto „Sveikatos specialistų rengimas, pritraukimas Kaišiadorių rajono savivaldybėje“ įgyvendinimas</t>
  </si>
  <si>
    <t>Projekto „Socialinio būsto fondo neįgaliesiems ir gausioms šeimoms plėtra Kaišiadorių rajono savivaldybėje“</t>
  </si>
  <si>
    <t>Projekto „Rūšiuojamojo atliekų surinkimo skatinimas Kaišiadorių rajono savivaldybėje“ įgyvendinimas</t>
  </si>
  <si>
    <t>Projekto „Žiežmarių sinagogos aktualizavimas ir įveiklinimas“ įgyvendinimas</t>
  </si>
  <si>
    <t>Projekto „Visos dienos mokyklos paslaugų prieinamumo didinimas Kaišiadorių ir Kėdainių rajono savivaldybėse“ įgyvendinimas</t>
  </si>
  <si>
    <t>Projekto „Kaišiadorių rajono bevariklio transporto infrastruktūros įrengimas“ įgyvendinimas</t>
  </si>
  <si>
    <t>Projekto „Dviračių tako Ąžuolyno gatvėje įrengimas“ įgyvendinimas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</si>
</sst>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0"/>
      <name val="Arial"/>
    </font>
    <font>
      <b/>
      <sz val="12"/>
      <name val="Times New Roman"/>
      <family val="1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</font>
    <font>
      <sz val="11"/>
      <name val="Times New Roman"/>
      <family val="1"/>
    </font>
    <font>
      <sz val="12"/>
      <color indexed="10"/>
      <name val="Times New Roman"/>
      <family val="1"/>
      <charset val="186"/>
    </font>
    <font>
      <sz val="11"/>
      <color indexed="8"/>
      <name val="Calibri"/>
      <family val="2"/>
    </font>
    <font>
      <sz val="11"/>
      <color indexed="8"/>
      <name val="Calibri"/>
      <family val="2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i/>
      <sz val="11"/>
      <name val="Times New Roman"/>
      <family val="1"/>
      <charset val="186"/>
    </font>
    <font>
      <i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2"/>
      <color rgb="FFED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3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justify"/>
    </xf>
    <xf numFmtId="0" fontId="4" fillId="0" borderId="0" xfId="0" applyFont="1"/>
    <xf numFmtId="1" fontId="4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" fontId="2" fillId="0" borderId="0" xfId="0" applyNumberFormat="1" applyFont="1"/>
    <xf numFmtId="0" fontId="2" fillId="0" borderId="1" xfId="0" applyFont="1" applyBorder="1" applyAlignment="1">
      <alignment horizontal="justify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right"/>
    </xf>
    <xf numFmtId="0" fontId="3" fillId="0" borderId="0" xfId="0" applyFont="1"/>
    <xf numFmtId="1" fontId="2" fillId="0" borderId="0" xfId="0" applyNumberFormat="1" applyFont="1" applyAlignment="1">
      <alignment horizontal="left"/>
    </xf>
    <xf numFmtId="1" fontId="3" fillId="0" borderId="0" xfId="0" applyNumberFormat="1" applyFont="1"/>
    <xf numFmtId="0" fontId="5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" fontId="3" fillId="0" borderId="0" xfId="0" applyNumberFormat="1" applyFont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/>
    </xf>
    <xf numFmtId="49" fontId="2" fillId="0" borderId="1" xfId="0" applyNumberFormat="1" applyFont="1" applyBorder="1"/>
    <xf numFmtId="49" fontId="3" fillId="2" borderId="1" xfId="0" applyNumberFormat="1" applyFont="1" applyFill="1" applyBorder="1"/>
    <xf numFmtId="49" fontId="3" fillId="0" borderId="1" xfId="0" applyNumberFormat="1" applyFont="1" applyBorder="1" applyAlignment="1">
      <alignment horizontal="justify"/>
    </xf>
    <xf numFmtId="49" fontId="2" fillId="0" borderId="1" xfId="0" applyNumberFormat="1" applyFont="1" applyBorder="1" applyAlignment="1">
      <alignment horizontal="justify"/>
    </xf>
    <xf numFmtId="0" fontId="2" fillId="0" borderId="4" xfId="0" applyFont="1" applyBorder="1"/>
    <xf numFmtId="0" fontId="2" fillId="0" borderId="4" xfId="0" applyFont="1" applyBorder="1" applyAlignment="1">
      <alignment horizontal="justify" vertical="center"/>
    </xf>
    <xf numFmtId="49" fontId="3" fillId="0" borderId="1" xfId="0" applyNumberFormat="1" applyFont="1" applyBorder="1"/>
    <xf numFmtId="0" fontId="2" fillId="0" borderId="4" xfId="0" applyFont="1" applyBorder="1" applyAlignment="1">
      <alignment horizontal="justify"/>
    </xf>
    <xf numFmtId="0" fontId="2" fillId="0" borderId="6" xfId="0" applyFont="1" applyBorder="1" applyAlignment="1">
      <alignment horizontal="justify"/>
    </xf>
    <xf numFmtId="0" fontId="2" fillId="0" borderId="2" xfId="0" applyFont="1" applyBorder="1"/>
    <xf numFmtId="1" fontId="2" fillId="0" borderId="1" xfId="0" applyNumberFormat="1" applyFont="1" applyBorder="1" applyAlignment="1">
      <alignment horizontal="left"/>
    </xf>
    <xf numFmtId="0" fontId="3" fillId="2" borderId="4" xfId="0" applyFont="1" applyFill="1" applyBorder="1"/>
    <xf numFmtId="0" fontId="3" fillId="2" borderId="2" xfId="0" applyFont="1" applyFill="1" applyBorder="1"/>
    <xf numFmtId="0" fontId="2" fillId="0" borderId="9" xfId="0" applyFont="1" applyBorder="1" applyAlignment="1">
      <alignment horizontal="justify" vertical="center"/>
    </xf>
    <xf numFmtId="0" fontId="3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vertical="center"/>
    </xf>
    <xf numFmtId="0" fontId="3" fillId="3" borderId="2" xfId="0" applyFont="1" applyFill="1" applyBorder="1"/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2" fillId="0" borderId="0" xfId="0" applyNumberFormat="1" applyFont="1"/>
    <xf numFmtId="164" fontId="4" fillId="0" borderId="0" xfId="0" applyNumberFormat="1" applyFont="1"/>
    <xf numFmtId="164" fontId="2" fillId="0" borderId="5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9" fontId="3" fillId="0" borderId="1" xfId="0" applyNumberFormat="1" applyFont="1" applyBorder="1" applyProtection="1">
      <protection locked="0"/>
    </xf>
    <xf numFmtId="164" fontId="3" fillId="3" borderId="1" xfId="0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center"/>
    </xf>
    <xf numFmtId="0" fontId="3" fillId="2" borderId="1" xfId="0" applyFont="1" applyFill="1" applyBorder="1"/>
    <xf numFmtId="164" fontId="3" fillId="2" borderId="4" xfId="0" applyNumberFormat="1" applyFont="1" applyFill="1" applyBorder="1" applyAlignment="1">
      <alignment horizontal="center"/>
    </xf>
    <xf numFmtId="0" fontId="3" fillId="3" borderId="4" xfId="0" applyFont="1" applyFill="1" applyBorder="1"/>
    <xf numFmtId="0" fontId="2" fillId="0" borderId="9" xfId="0" applyFont="1" applyBorder="1" applyAlignment="1">
      <alignment horizontal="justify"/>
    </xf>
    <xf numFmtId="164" fontId="3" fillId="2" borderId="1" xfId="0" applyNumberFormat="1" applyFont="1" applyFill="1" applyBorder="1" applyAlignment="1">
      <alignment horizontal="left"/>
    </xf>
    <xf numFmtId="2" fontId="3" fillId="0" borderId="0" xfId="0" applyNumberFormat="1" applyFont="1" applyAlignment="1">
      <alignment horizontal="center"/>
    </xf>
    <xf numFmtId="49" fontId="2" fillId="0" borderId="0" xfId="0" applyNumberFormat="1" applyFont="1"/>
    <xf numFmtId="0" fontId="3" fillId="3" borderId="1" xfId="0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left"/>
    </xf>
    <xf numFmtId="0" fontId="3" fillId="0" borderId="0" xfId="0" applyFont="1" applyAlignment="1">
      <alignment horizontal="left"/>
    </xf>
    <xf numFmtId="49" fontId="2" fillId="2" borderId="1" xfId="0" applyNumberFormat="1" applyFont="1" applyFill="1" applyBorder="1"/>
    <xf numFmtId="0" fontId="2" fillId="0" borderId="3" xfId="0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164" fontId="3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0" fontId="10" fillId="0" borderId="0" xfId="0" applyFont="1"/>
    <xf numFmtId="0" fontId="3" fillId="0" borderId="11" xfId="0" applyFont="1" applyBorder="1" applyAlignment="1">
      <alignment horizontal="justify"/>
    </xf>
    <xf numFmtId="2" fontId="2" fillId="0" borderId="0" xfId="0" applyNumberFormat="1" applyFont="1"/>
    <xf numFmtId="0" fontId="2" fillId="0" borderId="0" xfId="0" applyFont="1" applyProtection="1">
      <protection locked="0"/>
    </xf>
    <xf numFmtId="0" fontId="2" fillId="0" borderId="2" xfId="0" applyFont="1" applyBorder="1" applyAlignment="1">
      <alignment horizontal="justify"/>
    </xf>
    <xf numFmtId="49" fontId="2" fillId="0" borderId="1" xfId="0" applyNumberFormat="1" applyFont="1" applyBorder="1" applyProtection="1">
      <protection locked="0"/>
    </xf>
    <xf numFmtId="1" fontId="2" fillId="0" borderId="2" xfId="0" applyNumberFormat="1" applyFont="1" applyBorder="1" applyAlignment="1">
      <alignment horizontal="justify"/>
    </xf>
    <xf numFmtId="1" fontId="3" fillId="2" borderId="2" xfId="0" applyNumberFormat="1" applyFont="1" applyFill="1" applyBorder="1"/>
    <xf numFmtId="1" fontId="2" fillId="0" borderId="2" xfId="0" applyNumberFormat="1" applyFont="1" applyBorder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justify" vertical="center"/>
    </xf>
    <xf numFmtId="0" fontId="3" fillId="3" borderId="4" xfId="0" applyFont="1" applyFill="1" applyBorder="1" applyAlignment="1">
      <alignment horizontal="justify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2" fontId="10" fillId="0" borderId="0" xfId="0" applyNumberFormat="1" applyFont="1"/>
    <xf numFmtId="0" fontId="2" fillId="0" borderId="4" xfId="2" applyFont="1" applyBorder="1" applyAlignment="1">
      <alignment horizontal="justify"/>
    </xf>
    <xf numFmtId="2" fontId="0" fillId="0" borderId="0" xfId="0" applyNumberFormat="1"/>
    <xf numFmtId="0" fontId="2" fillId="0" borderId="3" xfId="0" applyFont="1" applyBorder="1" applyAlignment="1">
      <alignment horizontal="justify"/>
    </xf>
    <xf numFmtId="164" fontId="3" fillId="0" borderId="5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164" fontId="1" fillId="3" borderId="5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4" fontId="4" fillId="0" borderId="10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0" borderId="10" xfId="0" applyFont="1" applyBorder="1" applyAlignment="1">
      <alignment horizontal="left" vertical="center"/>
    </xf>
    <xf numFmtId="16" fontId="2" fillId="0" borderId="1" xfId="0" applyNumberFormat="1" applyFont="1" applyBorder="1"/>
    <xf numFmtId="164" fontId="2" fillId="0" borderId="10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164" fontId="2" fillId="4" borderId="1" xfId="0" applyNumberFormat="1" applyFont="1" applyFill="1" applyBorder="1" applyAlignment="1">
      <alignment horizontal="center"/>
    </xf>
    <xf numFmtId="164" fontId="3" fillId="4" borderId="1" xfId="0" applyNumberFormat="1" applyFont="1" applyFill="1" applyBorder="1" applyAlignment="1">
      <alignment horizontal="center"/>
    </xf>
    <xf numFmtId="0" fontId="3" fillId="0" borderId="8" xfId="0" applyFont="1" applyBorder="1"/>
    <xf numFmtId="49" fontId="3" fillId="4" borderId="1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justify"/>
    </xf>
    <xf numFmtId="49" fontId="3" fillId="4" borderId="1" xfId="0" applyNumberFormat="1" applyFont="1" applyFill="1" applyBorder="1"/>
    <xf numFmtId="49" fontId="3" fillId="4" borderId="4" xfId="0" applyNumberFormat="1" applyFont="1" applyFill="1" applyBorder="1"/>
    <xf numFmtId="164" fontId="3" fillId="4" borderId="6" xfId="0" applyNumberFormat="1" applyFont="1" applyFill="1" applyBorder="1" applyAlignment="1">
      <alignment horizontal="center"/>
    </xf>
    <xf numFmtId="49" fontId="2" fillId="4" borderId="1" xfId="0" applyNumberFormat="1" applyFont="1" applyFill="1" applyBorder="1"/>
    <xf numFmtId="49" fontId="2" fillId="4" borderId="4" xfId="0" applyNumberFormat="1" applyFont="1" applyFill="1" applyBorder="1"/>
    <xf numFmtId="164" fontId="2" fillId="4" borderId="6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wrapText="1"/>
    </xf>
    <xf numFmtId="164" fontId="3" fillId="4" borderId="10" xfId="0" applyNumberFormat="1" applyFont="1" applyFill="1" applyBorder="1" applyAlignment="1">
      <alignment horizontal="center"/>
    </xf>
    <xf numFmtId="0" fontId="3" fillId="4" borderId="1" xfId="0" applyFont="1" applyFill="1" applyBorder="1"/>
    <xf numFmtId="0" fontId="2" fillId="0" borderId="3" xfId="0" applyFont="1" applyBorder="1"/>
    <xf numFmtId="164" fontId="2" fillId="0" borderId="3" xfId="0" applyNumberFormat="1" applyFont="1" applyBorder="1" applyAlignment="1">
      <alignment horizontal="center"/>
    </xf>
    <xf numFmtId="0" fontId="0" fillId="0" borderId="3" xfId="0" applyBorder="1"/>
    <xf numFmtId="0" fontId="10" fillId="0" borderId="3" xfId="0" applyFont="1" applyBorder="1"/>
    <xf numFmtId="2" fontId="3" fillId="0" borderId="3" xfId="0" applyNumberFormat="1" applyFont="1" applyBorder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left"/>
    </xf>
    <xf numFmtId="2" fontId="2" fillId="0" borderId="3" xfId="0" applyNumberFormat="1" applyFont="1" applyBorder="1"/>
    <xf numFmtId="0" fontId="4" fillId="0" borderId="3" xfId="0" applyFont="1" applyBorder="1"/>
    <xf numFmtId="1" fontId="4" fillId="0" borderId="3" xfId="0" applyNumberFormat="1" applyFont="1" applyBorder="1"/>
    <xf numFmtId="164" fontId="3" fillId="3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/>
    <xf numFmtId="0" fontId="2" fillId="4" borderId="2" xfId="0" applyFont="1" applyFill="1" applyBorder="1" applyAlignment="1">
      <alignment horizontal="justify"/>
    </xf>
    <xf numFmtId="1" fontId="2" fillId="0" borderId="1" xfId="0" applyNumberFormat="1" applyFont="1" applyBorder="1" applyAlignment="1">
      <alignment wrapText="1"/>
    </xf>
    <xf numFmtId="1" fontId="2" fillId="0" borderId="1" xfId="0" applyNumberFormat="1" applyFont="1" applyBorder="1"/>
    <xf numFmtId="0" fontId="12" fillId="4" borderId="4" xfId="0" applyFont="1" applyFill="1" applyBorder="1" applyAlignment="1">
      <alignment horizontal="right" wrapText="1"/>
    </xf>
    <xf numFmtId="0" fontId="12" fillId="4" borderId="4" xfId="0" applyFont="1" applyFill="1" applyBorder="1" applyAlignment="1">
      <alignment horizontal="right" vertical="center" wrapText="1"/>
    </xf>
    <xf numFmtId="49" fontId="2" fillId="0" borderId="4" xfId="0" applyNumberFormat="1" applyFont="1" applyBorder="1"/>
    <xf numFmtId="164" fontId="2" fillId="0" borderId="6" xfId="0" applyNumberFormat="1" applyFont="1" applyBorder="1" applyAlignment="1">
      <alignment horizontal="center"/>
    </xf>
    <xf numFmtId="49" fontId="2" fillId="4" borderId="1" xfId="0" applyNumberFormat="1" applyFont="1" applyFill="1" applyBorder="1" applyAlignment="1">
      <alignment horizontal="left" wrapText="1"/>
    </xf>
    <xf numFmtId="0" fontId="2" fillId="0" borderId="13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3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2" fillId="0" borderId="4" xfId="0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right" wrapText="1"/>
    </xf>
    <xf numFmtId="49" fontId="2" fillId="4" borderId="1" xfId="0" applyNumberFormat="1" applyFont="1" applyFill="1" applyBorder="1" applyAlignment="1">
      <alignment horizontal="right" wrapText="1"/>
    </xf>
    <xf numFmtId="0" fontId="2" fillId="4" borderId="4" xfId="0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164" fontId="12" fillId="4" borderId="1" xfId="0" applyNumberFormat="1" applyFont="1" applyFill="1" applyBorder="1" applyAlignment="1">
      <alignment horizontal="center"/>
    </xf>
    <xf numFmtId="0" fontId="13" fillId="0" borderId="4" xfId="0" applyFont="1" applyBorder="1" applyAlignment="1">
      <alignment horizontal="right" wrapText="1"/>
    </xf>
    <xf numFmtId="164" fontId="14" fillId="0" borderId="10" xfId="0" applyNumberFormat="1" applyFont="1" applyBorder="1" applyAlignment="1">
      <alignment horizontal="center"/>
    </xf>
    <xf numFmtId="1" fontId="3" fillId="2" borderId="1" xfId="0" applyNumberFormat="1" applyFont="1" applyFill="1" applyBorder="1" applyAlignment="1">
      <alignment horizontal="left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10" xfId="0" applyFont="1" applyBorder="1" applyAlignment="1" applyProtection="1">
      <alignment horizontal="center" vertical="center"/>
      <protection locked="0"/>
    </xf>
    <xf numFmtId="2" fontId="2" fillId="0" borderId="0" xfId="0" applyNumberFormat="1" applyFont="1" applyAlignment="1">
      <alignment horizontal="right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164" fontId="2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justify"/>
    </xf>
    <xf numFmtId="0" fontId="2" fillId="4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15" fillId="0" borderId="0" xfId="0" applyFont="1" applyAlignment="1">
      <alignment wrapText="1"/>
    </xf>
    <xf numFmtId="0" fontId="15" fillId="0" borderId="1" xfId="0" applyFont="1" applyBorder="1" applyAlignment="1">
      <alignment wrapText="1"/>
    </xf>
    <xf numFmtId="0" fontId="2" fillId="0" borderId="5" xfId="0" applyFont="1" applyBorder="1" applyAlignment="1">
      <alignment horizontal="left" wrapText="1"/>
    </xf>
    <xf numFmtId="0" fontId="13" fillId="0" borderId="4" xfId="0" applyFont="1" applyBorder="1" applyAlignment="1">
      <alignment horizontal="justify"/>
    </xf>
    <xf numFmtId="0" fontId="2" fillId="0" borderId="2" xfId="0" applyFont="1" applyBorder="1" applyAlignment="1">
      <alignment horizontal="left" wrapText="1"/>
    </xf>
    <xf numFmtId="0" fontId="2" fillId="0" borderId="5" xfId="0" applyFont="1" applyBorder="1" applyAlignment="1">
      <alignment horizontal="justify" vertical="center"/>
    </xf>
    <xf numFmtId="49" fontId="2" fillId="4" borderId="6" xfId="0" applyNumberFormat="1" applyFont="1" applyFill="1" applyBorder="1"/>
    <xf numFmtId="0" fontId="2" fillId="0" borderId="16" xfId="0" applyFont="1" applyBorder="1"/>
    <xf numFmtId="0" fontId="3" fillId="0" borderId="17" xfId="0" applyFont="1" applyBorder="1"/>
    <xf numFmtId="2" fontId="12" fillId="4" borderId="1" xfId="0" applyNumberFormat="1" applyFont="1" applyFill="1" applyBorder="1" applyAlignment="1">
      <alignment horizontal="center"/>
    </xf>
    <xf numFmtId="0" fontId="3" fillId="2" borderId="5" xfId="0" applyFont="1" applyFill="1" applyBorder="1"/>
    <xf numFmtId="0" fontId="2" fillId="0" borderId="19" xfId="0" applyFont="1" applyBorder="1" applyAlignment="1">
      <alignment horizontal="justify" vertical="center"/>
    </xf>
    <xf numFmtId="0" fontId="2" fillId="4" borderId="1" xfId="0" applyFont="1" applyFill="1" applyBorder="1" applyAlignment="1">
      <alignment horizontal="center" wrapText="1"/>
    </xf>
    <xf numFmtId="49" fontId="2" fillId="0" borderId="2" xfId="0" applyNumberFormat="1" applyFont="1" applyBorder="1"/>
    <xf numFmtId="49" fontId="2" fillId="4" borderId="1" xfId="0" applyNumberFormat="1" applyFont="1" applyFill="1" applyBorder="1" applyAlignment="1">
      <alignment horizontal="center" vertical="center"/>
    </xf>
    <xf numFmtId="49" fontId="2" fillId="4" borderId="11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49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49" fontId="2" fillId="4" borderId="10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3" fillId="2" borderId="2" xfId="0" applyFont="1" applyFill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164" fontId="13" fillId="4" borderId="1" xfId="0" applyNumberFormat="1" applyFont="1" applyFill="1" applyBorder="1" applyAlignment="1">
      <alignment horizontal="center"/>
    </xf>
    <xf numFmtId="164" fontId="14" fillId="4" borderId="1" xfId="0" applyNumberFormat="1" applyFont="1" applyFill="1" applyBorder="1" applyAlignment="1">
      <alignment horizontal="center"/>
    </xf>
    <xf numFmtId="164" fontId="16" fillId="4" borderId="1" xfId="0" applyNumberFormat="1" applyFont="1" applyFill="1" applyBorder="1" applyAlignment="1">
      <alignment horizontal="center"/>
    </xf>
    <xf numFmtId="164" fontId="17" fillId="4" borderId="1" xfId="0" applyNumberFormat="1" applyFont="1" applyFill="1" applyBorder="1" applyAlignment="1">
      <alignment horizontal="center"/>
    </xf>
    <xf numFmtId="164" fontId="1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wrapText="1"/>
    </xf>
    <xf numFmtId="0" fontId="2" fillId="0" borderId="12" xfId="0" applyFont="1" applyBorder="1" applyAlignment="1">
      <alignment horizontal="left" vertical="center" wrapText="1"/>
    </xf>
    <xf numFmtId="0" fontId="2" fillId="0" borderId="4" xfId="2" applyFont="1" applyBorder="1" applyAlignment="1">
      <alignment horizontal="left" wrapText="1"/>
    </xf>
    <xf numFmtId="0" fontId="2" fillId="4" borderId="1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/>
    </xf>
    <xf numFmtId="1" fontId="2" fillId="0" borderId="2" xfId="0" applyNumberFormat="1" applyFont="1" applyBorder="1" applyAlignment="1">
      <alignment horizontal="left" wrapText="1"/>
    </xf>
    <xf numFmtId="49" fontId="13" fillId="0" borderId="1" xfId="0" applyNumberFormat="1" applyFont="1" applyBorder="1" applyAlignment="1">
      <alignment horizontal="right"/>
    </xf>
    <xf numFmtId="164" fontId="17" fillId="0" borderId="10" xfId="0" applyNumberFormat="1" applyFont="1" applyBorder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wrapText="1"/>
    </xf>
    <xf numFmtId="164" fontId="18" fillId="0" borderId="8" xfId="0" applyNumberFormat="1" applyFont="1" applyBorder="1" applyAlignment="1">
      <alignment horizontal="center"/>
    </xf>
    <xf numFmtId="0" fontId="2" fillId="0" borderId="11" xfId="0" applyFont="1" applyBorder="1" applyAlignment="1">
      <alignment horizontal="left" vertical="center" wrapText="1"/>
    </xf>
    <xf numFmtId="0" fontId="2" fillId="0" borderId="10" xfId="0" applyFont="1" applyBorder="1"/>
    <xf numFmtId="164" fontId="2" fillId="0" borderId="4" xfId="0" applyNumberFormat="1" applyFont="1" applyBorder="1" applyAlignment="1">
      <alignment horizontal="center" wrapText="1"/>
    </xf>
    <xf numFmtId="164" fontId="3" fillId="0" borderId="18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49" fontId="3" fillId="0" borderId="5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left" wrapText="1"/>
    </xf>
    <xf numFmtId="0" fontId="3" fillId="4" borderId="5" xfId="0" applyFont="1" applyFill="1" applyBorder="1" applyAlignment="1">
      <alignment wrapText="1"/>
    </xf>
    <xf numFmtId="0" fontId="10" fillId="4" borderId="4" xfId="0" applyFont="1" applyFill="1" applyBorder="1" applyAlignment="1">
      <alignment wrapText="1"/>
    </xf>
    <xf numFmtId="0" fontId="3" fillId="3" borderId="5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2" fillId="0" borderId="10" xfId="0" applyFont="1" applyBorder="1" applyAlignment="1">
      <alignment horizontal="justify" vertical="center"/>
    </xf>
    <xf numFmtId="0" fontId="2" fillId="0" borderId="12" xfId="0" applyFont="1" applyBorder="1" applyAlignment="1">
      <alignment horizontal="justify" vertical="center"/>
    </xf>
    <xf numFmtId="0" fontId="2" fillId="0" borderId="11" xfId="0" applyFont="1" applyBorder="1" applyAlignment="1">
      <alignment horizontal="justify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justify" vertical="center"/>
    </xf>
    <xf numFmtId="0" fontId="3" fillId="0" borderId="12" xfId="0" applyFont="1" applyBorder="1" applyAlignment="1">
      <alignment horizontal="justify" vertical="center"/>
    </xf>
    <xf numFmtId="0" fontId="3" fillId="0" borderId="11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0" fontId="2" fillId="0" borderId="15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3" fillId="3" borderId="2" xfId="0" applyFont="1" applyFill="1" applyBorder="1" applyAlignment="1">
      <alignment horizontal="left"/>
    </xf>
    <xf numFmtId="1" fontId="3" fillId="0" borderId="1" xfId="0" applyNumberFormat="1" applyFont="1" applyBorder="1" applyAlignment="1">
      <alignment horizontal="left"/>
    </xf>
    <xf numFmtId="1" fontId="2" fillId="0" borderId="10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10" xfId="0" applyFont="1" applyBorder="1" applyAlignment="1" applyProtection="1">
      <alignment horizontal="justify" vertical="center"/>
      <protection locked="0"/>
    </xf>
    <xf numFmtId="0" fontId="2" fillId="0" borderId="12" xfId="0" applyFont="1" applyBorder="1" applyAlignment="1" applyProtection="1">
      <alignment horizontal="justify" vertical="center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3" fillId="2" borderId="2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3" fillId="0" borderId="10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2" fillId="0" borderId="11" xfId="0" applyFont="1" applyBorder="1" applyAlignment="1" applyProtection="1">
      <alignment horizontal="justify" vertical="center"/>
      <protection locked="0"/>
    </xf>
    <xf numFmtId="0" fontId="2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0" fontId="3" fillId="4" borderId="1" xfId="0" applyFont="1" applyFill="1" applyBorder="1" applyAlignment="1">
      <alignment horizontal="left"/>
    </xf>
    <xf numFmtId="0" fontId="4" fillId="0" borderId="10" xfId="0" applyFont="1" applyBorder="1" applyAlignment="1" applyProtection="1">
      <alignment horizontal="justify" vertical="center"/>
      <protection locked="0"/>
    </xf>
    <xf numFmtId="0" fontId="4" fillId="0" borderId="12" xfId="0" applyFont="1" applyBorder="1" applyAlignment="1" applyProtection="1">
      <alignment horizontal="justify" vertical="center"/>
      <protection locked="0"/>
    </xf>
    <xf numFmtId="0" fontId="3" fillId="0" borderId="1" xfId="0" applyFont="1" applyBorder="1" applyAlignment="1">
      <alignment horizontal="left"/>
    </xf>
    <xf numFmtId="1" fontId="3" fillId="3" borderId="1" xfId="0" applyNumberFormat="1" applyFont="1" applyFill="1" applyBorder="1" applyAlignment="1">
      <alignment horizontal="left"/>
    </xf>
    <xf numFmtId="0" fontId="2" fillId="0" borderId="10" xfId="2" applyFont="1" applyBorder="1" applyAlignment="1">
      <alignment horizontal="justify" vertical="center"/>
    </xf>
    <xf numFmtId="0" fontId="2" fillId="0" borderId="11" xfId="2" applyFont="1" applyBorder="1" applyAlignment="1">
      <alignment horizontal="justify" vertical="center"/>
    </xf>
    <xf numFmtId="0" fontId="4" fillId="0" borderId="0" xfId="0" applyFont="1" applyAlignment="1">
      <alignment horizontal="left"/>
    </xf>
    <xf numFmtId="1" fontId="3" fillId="0" borderId="5" xfId="0" applyNumberFormat="1" applyFont="1" applyBorder="1" applyAlignment="1">
      <alignment horizontal="left"/>
    </xf>
    <xf numFmtId="1" fontId="3" fillId="0" borderId="2" xfId="0" applyNumberFormat="1" applyFont="1" applyBorder="1" applyAlignment="1">
      <alignment horizontal="left"/>
    </xf>
    <xf numFmtId="164" fontId="1" fillId="0" borderId="5" xfId="0" applyNumberFormat="1" applyFont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10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justify"/>
      <protection locked="0"/>
    </xf>
    <xf numFmtId="0" fontId="2" fillId="0" borderId="11" xfId="0" applyFont="1" applyBorder="1" applyAlignment="1" applyProtection="1">
      <alignment horizontal="justify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1" fontId="3" fillId="0" borderId="0" xfId="0" applyNumberFormat="1" applyFont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4" borderId="15" xfId="0" applyFont="1" applyFill="1" applyBorder="1" applyAlignment="1">
      <alignment horizontal="justify"/>
    </xf>
    <xf numFmtId="0" fontId="3" fillId="4" borderId="8" xfId="0" applyFont="1" applyFill="1" applyBorder="1" applyAlignment="1">
      <alignment horizontal="justify"/>
    </xf>
    <xf numFmtId="1" fontId="2" fillId="0" borderId="1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3" borderId="15" xfId="0" applyFont="1" applyFill="1" applyBorder="1" applyAlignment="1">
      <alignment horizontal="justify"/>
    </xf>
    <xf numFmtId="0" fontId="3" fillId="3" borderId="8" xfId="0" applyFont="1" applyFill="1" applyBorder="1" applyAlignment="1">
      <alignment horizontal="justify"/>
    </xf>
  </cellXfs>
  <cellStyles count="3">
    <cellStyle name="Įprastas" xfId="0" builtinId="0"/>
    <cellStyle name="Normal 2" xfId="1" xr:uid="{00000000-0005-0000-0000-000000000000}"/>
    <cellStyle name="Normal_Sheet1" xfId="2" xr:uid="{00000000-0005-0000-0000-000001000000}"/>
  </cellStyles>
  <dxfs count="0"/>
  <tableStyles count="0" defaultTableStyle="TableStyleMedium2" defaultPivotStyle="PivotStyleLight16"/>
  <colors>
    <mruColors>
      <color rgb="FFFFFF99"/>
      <color rgb="FFFFFFCC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4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KAIŠIADORIŲ RAJONO SAVIVALDYBĖS 2020 METŲ BIUDŽETE NUMATYTI ASIGNAVIMAI</a:t>
            </a:r>
            <a:endParaRPr lang="en-GB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4.2908290623541567E-2"/>
          <c:y val="7.7621034784495169E-2"/>
          <c:w val="0.93969094809315246"/>
          <c:h val="0.7672687464042353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Lapas2!$B$11:$B$23</c:f>
              <c:strCache>
                <c:ptCount val="13"/>
                <c:pt idx="0">
                  <c:v>Savivaldybės valdymo programa</c:v>
                </c:pt>
                <c:pt idx="1">
                  <c:v>Kaišiadorių r. Pravieniškių lopšelio-darželio „Ąžuoliukas“ direktorius</c:v>
                </c:pt>
                <c:pt idx="2">
                  <c:v>Palomenės seniūnas</c:v>
                </c:pt>
                <c:pt idx="3">
                  <c:v>Kaišiadorių r. Rumšiškių  lopšelio-darželio direktorius</c:v>
                </c:pt>
                <c:pt idx="4">
                  <c:v>Kaišiadorių kultūros centro direktorius</c:v>
                </c:pt>
                <c:pt idx="5">
                  <c:v>Žaslių kultūros centro direktorius</c:v>
                </c:pt>
                <c:pt idx="6">
                  <c:v>Sveikatos ir socialinės apsaugos programa</c:v>
                </c:pt>
                <c:pt idx="7">
                  <c:v>Kaišiadorių r. Žiežmarių mokyklos-darželio „Vaikystės dvaras“ direktorius</c:v>
                </c:pt>
                <c:pt idx="8">
                  <c:v>Kaišiadorių r. Rumšiškių Antano Baranausko gimnazijos direktorius</c:v>
                </c:pt>
                <c:pt idx="9">
                  <c:v>Kaišiadorių šventosios Faustinos ugdymo centro direktorius</c:v>
                </c:pt>
                <c:pt idx="10">
                  <c:v>Rumšiškių kultūros centro direktorius</c:v>
                </c:pt>
                <c:pt idx="11">
                  <c:v>Pravieniškių seniūnas</c:v>
                </c:pt>
                <c:pt idx="12">
                  <c:v>Palomenės seniūnas</c:v>
                </c:pt>
              </c:strCache>
            </c:strRef>
          </c:cat>
          <c:val>
            <c:numRef>
              <c:f>Lapas2!$C$11:$C$23</c:f>
              <c:numCache>
                <c:formatCode>0.0</c:formatCode>
                <c:ptCount val="13"/>
                <c:pt idx="0">
                  <c:v>321.78899999999999</c:v>
                </c:pt>
                <c:pt idx="1">
                  <c:v>15.962</c:v>
                </c:pt>
                <c:pt idx="2">
                  <c:v>979.34</c:v>
                </c:pt>
                <c:pt idx="3">
                  <c:v>172.83699999999999</c:v>
                </c:pt>
                <c:pt idx="4">
                  <c:v>188.24600000000001</c:v>
                </c:pt>
                <c:pt idx="5">
                  <c:v>29300.791999999998</c:v>
                </c:pt>
                <c:pt idx="6">
                  <c:v>4008.0950000000003</c:v>
                </c:pt>
                <c:pt idx="7">
                  <c:v>77.558999999999997</c:v>
                </c:pt>
                <c:pt idx="8">
                  <c:v>42.622</c:v>
                </c:pt>
                <c:pt idx="9">
                  <c:v>41.800000000000004</c:v>
                </c:pt>
                <c:pt idx="10">
                  <c:v>1.8159999999999998</c:v>
                </c:pt>
                <c:pt idx="11">
                  <c:v>38.07</c:v>
                </c:pt>
                <c:pt idx="12">
                  <c:v>196.916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97-468D-8991-DF47548658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7738880"/>
        <c:axId val="137748864"/>
      </c:barChart>
      <c:catAx>
        <c:axId val="13773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748864"/>
        <c:crosses val="autoZero"/>
        <c:auto val="1"/>
        <c:lblAlgn val="ctr"/>
        <c:lblOffset val="100"/>
        <c:noMultiLvlLbl val="0"/>
      </c:catAx>
      <c:valAx>
        <c:axId val="13774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738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0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KAIŠIADORIŲ RAJONO SAVIVALDYBĖS 2020 METŲ BIUDŽETE NUMATYTI ASIGNAVIMAI PAGAL PROGRAMAS</a:t>
            </a:r>
            <a:endParaRPr lang="en-GB" sz="10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7292006525285483"/>
          <c:y val="1.23647604327666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4.2908290623541567E-2"/>
          <c:y val="7.7621034784495169E-2"/>
          <c:w val="0.95592006953453834"/>
          <c:h val="0.7672687464042353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Lapas2!$B$11:$B$23</c:f>
              <c:strCache>
                <c:ptCount val="13"/>
                <c:pt idx="0">
                  <c:v>Savivaldybės valdymo programa</c:v>
                </c:pt>
                <c:pt idx="1">
                  <c:v>Kaišiadorių r. Pravieniškių lopšelio-darželio „Ąžuoliukas“ direktorius</c:v>
                </c:pt>
                <c:pt idx="2">
                  <c:v>Palomenės seniūnas</c:v>
                </c:pt>
                <c:pt idx="3">
                  <c:v>Kaišiadorių r. Rumšiškių  lopšelio-darželio direktorius</c:v>
                </c:pt>
                <c:pt idx="4">
                  <c:v>Kaišiadorių kultūros centro direktorius</c:v>
                </c:pt>
                <c:pt idx="5">
                  <c:v>Žaslių kultūros centro direktorius</c:v>
                </c:pt>
                <c:pt idx="6">
                  <c:v>Sveikatos ir socialinės apsaugos programa</c:v>
                </c:pt>
                <c:pt idx="7">
                  <c:v>Kaišiadorių r. Žiežmarių mokyklos-darželio „Vaikystės dvaras“ direktorius</c:v>
                </c:pt>
                <c:pt idx="8">
                  <c:v>Kaišiadorių r. Rumšiškių Antano Baranausko gimnazijos direktorius</c:v>
                </c:pt>
                <c:pt idx="9">
                  <c:v>Kaišiadorių šventosios Faustinos ugdymo centro direktorius</c:v>
                </c:pt>
                <c:pt idx="10">
                  <c:v>Rumšiškių kultūros centro direktorius</c:v>
                </c:pt>
                <c:pt idx="11">
                  <c:v>Pravieniškių seniūnas</c:v>
                </c:pt>
                <c:pt idx="12">
                  <c:v>Palomenės seniūnas</c:v>
                </c:pt>
              </c:strCache>
            </c:strRef>
          </c:cat>
          <c:val>
            <c:numRef>
              <c:f>Lapas2!$C$11:$C$23</c:f>
              <c:numCache>
                <c:formatCode>0.0</c:formatCode>
                <c:ptCount val="13"/>
                <c:pt idx="0">
                  <c:v>321.78899999999999</c:v>
                </c:pt>
                <c:pt idx="1">
                  <c:v>15.962</c:v>
                </c:pt>
                <c:pt idx="2">
                  <c:v>979.34</c:v>
                </c:pt>
                <c:pt idx="3">
                  <c:v>172.83699999999999</c:v>
                </c:pt>
                <c:pt idx="4">
                  <c:v>188.24600000000001</c:v>
                </c:pt>
                <c:pt idx="5">
                  <c:v>29300.791999999998</c:v>
                </c:pt>
                <c:pt idx="6">
                  <c:v>4008.0950000000003</c:v>
                </c:pt>
                <c:pt idx="7">
                  <c:v>77.558999999999997</c:v>
                </c:pt>
                <c:pt idx="8">
                  <c:v>42.622</c:v>
                </c:pt>
                <c:pt idx="9">
                  <c:v>41.800000000000004</c:v>
                </c:pt>
                <c:pt idx="10">
                  <c:v>1.8159999999999998</c:v>
                </c:pt>
                <c:pt idx="11">
                  <c:v>38.07</c:v>
                </c:pt>
                <c:pt idx="12">
                  <c:v>196.916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AD-45AB-84D3-8A4E511BBA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8224768"/>
        <c:axId val="138226304"/>
      </c:barChart>
      <c:catAx>
        <c:axId val="13822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226304"/>
        <c:crosses val="autoZero"/>
        <c:auto val="1"/>
        <c:lblAlgn val="ctr"/>
        <c:lblOffset val="100"/>
        <c:noMultiLvlLbl val="0"/>
      </c:catAx>
      <c:valAx>
        <c:axId val="13822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224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2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KAIŠIADORIŲ RAJONO SAVIVALDYBĖS 2020 METŲ BIUDŽETE NUMATYTI ASIGNAVIMAI</a:t>
            </a:r>
            <a:r>
              <a:rPr lang="en-GB" sz="1200" b="0" i="0" u="none" strike="noStrike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en-GB" sz="12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PAGAL PROGRAMAS IŠ SAVIVALDYBĖS BIUDŽETO PROGNOZUOJAMŲ PAJAMŲ</a:t>
            </a:r>
            <a:r>
              <a:rPr lang="en-GB" sz="1200" b="0" i="0" u="none" strike="noStrike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n-GB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2656385352711971"/>
          <c:y val="1.31795716639209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4.9214887786603774E-2"/>
          <c:y val="6.8667361680830236E-2"/>
          <c:w val="0.94021242498872659"/>
          <c:h val="0.675577060280974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'asign SB'!$B$11:$B$23</c:f>
              <c:strCache>
                <c:ptCount val="13"/>
                <c:pt idx="0">
                  <c:v>Savivaldybės valdymo programa</c:v>
                </c:pt>
                <c:pt idx="1">
                  <c:v>Kaišiadorių r. Pravieniškių lopšelio-darželio „Ąžuoliukas“ direktorius</c:v>
                </c:pt>
                <c:pt idx="2">
                  <c:v>Palomenės seniūnas</c:v>
                </c:pt>
                <c:pt idx="3">
                  <c:v>Kaišiadorių r. Rumšiškių  lopšelio-darželio direktorius</c:v>
                </c:pt>
                <c:pt idx="4">
                  <c:v>Kaišiadorių kultūros centro direktorius</c:v>
                </c:pt>
                <c:pt idx="5">
                  <c:v>Žaslių kultūros centro direktorius</c:v>
                </c:pt>
                <c:pt idx="6">
                  <c:v>Sveikatos ir socialinės apsaugos programa</c:v>
                </c:pt>
                <c:pt idx="7">
                  <c:v>Kaišiadorių r. Žiežmarių mokyklos-darželio „Vaikystės dvaras“ direktorius</c:v>
                </c:pt>
                <c:pt idx="8">
                  <c:v>Kaišiadorių r. Rumšiškių Antano Baranausko gimnazijos direktorius</c:v>
                </c:pt>
                <c:pt idx="9">
                  <c:v>Kaišiadorių šventosios Faustinos ugdymo centro direktorius</c:v>
                </c:pt>
                <c:pt idx="10">
                  <c:v>Rumšiškių kultūros centro direktorius</c:v>
                </c:pt>
                <c:pt idx="11">
                  <c:v>Pravieniškių seniūnas</c:v>
                </c:pt>
                <c:pt idx="12">
                  <c:v>Palomenės seniūnas</c:v>
                </c:pt>
              </c:strCache>
            </c:strRef>
          </c:cat>
          <c:val>
            <c:numRef>
              <c:f>'asign SB'!$C$11:$C$23</c:f>
              <c:numCache>
                <c:formatCode>0.0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4842.3339999999998</c:v>
                </c:pt>
                <c:pt idx="3">
                  <c:v>0</c:v>
                </c:pt>
                <c:pt idx="4">
                  <c:v>496.58300000000003</c:v>
                </c:pt>
                <c:pt idx="5">
                  <c:v>4424.5370000000003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5-4563-BA80-21FC16CC19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8280320"/>
        <c:axId val="138318976"/>
      </c:barChart>
      <c:catAx>
        <c:axId val="13828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318976"/>
        <c:crosses val="autoZero"/>
        <c:auto val="1"/>
        <c:lblAlgn val="ctr"/>
        <c:lblOffset val="100"/>
        <c:noMultiLvlLbl val="0"/>
      </c:catAx>
      <c:valAx>
        <c:axId val="13831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280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19051</xdr:rowOff>
    </xdr:from>
    <xdr:to>
      <xdr:col>15</xdr:col>
      <xdr:colOff>200025</xdr:colOff>
      <xdr:row>32</xdr:row>
      <xdr:rowOff>152400</xdr:rowOff>
    </xdr:to>
    <xdr:graphicFrame macro="">
      <xdr:nvGraphicFramePr>
        <xdr:cNvPr id="4" name="Diagrama 3">
          <a:extLst>
            <a:ext uri="{FF2B5EF4-FFF2-40B4-BE49-F238E27FC236}">
              <a16:creationId xmlns:a16="http://schemas.microsoft.com/office/drawing/2014/main" id="{F0657B40-F33C-4439-9FF0-17A37763F1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19</xdr:col>
      <xdr:colOff>95250</xdr:colOff>
      <xdr:row>30</xdr:row>
      <xdr:rowOff>9525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1A22A5B5-31C0-4E3A-877C-D2A75E1750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590550</xdr:colOff>
      <xdr:row>33</xdr:row>
      <xdr:rowOff>161924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C32F8332-3B34-49C4-A4CA-4682372677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70"/>
  <sheetViews>
    <sheetView showZeros="0" tabSelected="1" workbookViewId="0">
      <selection activeCell="C119" sqref="C119"/>
    </sheetView>
  </sheetViews>
  <sheetFormatPr defaultColWidth="9.140625" defaultRowHeight="15.75" customHeight="1" x14ac:dyDescent="0.25"/>
  <cols>
    <col min="1" max="1" width="7.5703125" style="1" customWidth="1"/>
    <col min="2" max="2" width="57.140625" style="1" customWidth="1"/>
    <col min="3" max="3" width="41.140625" style="1" customWidth="1"/>
    <col min="4" max="16384" width="9.140625" style="1"/>
  </cols>
  <sheetData>
    <row r="1" spans="1:3" x14ac:dyDescent="0.25">
      <c r="C1" s="1" t="s">
        <v>77</v>
      </c>
    </row>
    <row r="2" spans="1:3" ht="15.75" customHeight="1" x14ac:dyDescent="0.25">
      <c r="C2" s="220" t="s">
        <v>473</v>
      </c>
    </row>
    <row r="3" spans="1:3" ht="15.75" customHeight="1" x14ac:dyDescent="0.25">
      <c r="C3" s="220"/>
    </row>
    <row r="4" spans="1:3" ht="15.75" customHeight="1" x14ac:dyDescent="0.25">
      <c r="C4" s="181"/>
    </row>
    <row r="5" spans="1:3" ht="15.75" hidden="1" customHeight="1" x14ac:dyDescent="0.25">
      <c r="C5" s="220"/>
    </row>
    <row r="6" spans="1:3" ht="15.75" hidden="1" customHeight="1" x14ac:dyDescent="0.25">
      <c r="C6" s="220"/>
    </row>
    <row r="7" spans="1:3" ht="15.75" hidden="1" customHeight="1" x14ac:dyDescent="0.25">
      <c r="C7" s="220"/>
    </row>
    <row r="8" spans="1:3" ht="15.75" hidden="1" customHeight="1" x14ac:dyDescent="0.25">
      <c r="C8" s="181"/>
    </row>
    <row r="9" spans="1:3" x14ac:dyDescent="0.25">
      <c r="A9" s="221" t="s">
        <v>474</v>
      </c>
      <c r="B9" s="221"/>
      <c r="C9" s="221"/>
    </row>
    <row r="10" spans="1:3" x14ac:dyDescent="0.25">
      <c r="C10" s="62" t="s">
        <v>271</v>
      </c>
    </row>
    <row r="11" spans="1:3" ht="32.25" customHeight="1" x14ac:dyDescent="0.25">
      <c r="A11" s="9" t="s">
        <v>231</v>
      </c>
      <c r="B11" s="9" t="s">
        <v>134</v>
      </c>
      <c r="C11" s="7" t="s">
        <v>76</v>
      </c>
    </row>
    <row r="12" spans="1:3" s="12" customFormat="1" ht="15.75" customHeight="1" x14ac:dyDescent="0.25">
      <c r="A12" s="19" t="s">
        <v>78</v>
      </c>
      <c r="B12" s="68" t="s">
        <v>135</v>
      </c>
      <c r="C12" s="41">
        <f>C13+C16+C20</f>
        <v>38350</v>
      </c>
    </row>
    <row r="13" spans="1:3" ht="15.75" customHeight="1" x14ac:dyDescent="0.25">
      <c r="A13" s="19" t="s">
        <v>69</v>
      </c>
      <c r="B13" s="22" t="s">
        <v>136</v>
      </c>
      <c r="C13" s="41">
        <f>C14</f>
        <v>35496</v>
      </c>
    </row>
    <row r="14" spans="1:3" ht="15.75" customHeight="1" x14ac:dyDescent="0.25">
      <c r="A14" s="21" t="s">
        <v>173</v>
      </c>
      <c r="B14" s="9" t="s">
        <v>184</v>
      </c>
      <c r="C14" s="99">
        <f>35467+29</f>
        <v>35496</v>
      </c>
    </row>
    <row r="15" spans="1:3" ht="33" customHeight="1" x14ac:dyDescent="0.25">
      <c r="A15" s="21"/>
      <c r="B15" s="158" t="s">
        <v>270</v>
      </c>
      <c r="C15" s="188">
        <v>29</v>
      </c>
    </row>
    <row r="16" spans="1:3" ht="15.75" customHeight="1" x14ac:dyDescent="0.25">
      <c r="A16" s="19" t="s">
        <v>13</v>
      </c>
      <c r="B16" s="22" t="s">
        <v>137</v>
      </c>
      <c r="C16" s="100">
        <f>SUM(C17:C19)</f>
        <v>2708</v>
      </c>
    </row>
    <row r="17" spans="1:3" ht="15.75" customHeight="1" x14ac:dyDescent="0.25">
      <c r="A17" s="21" t="s">
        <v>174</v>
      </c>
      <c r="B17" s="9" t="s">
        <v>138</v>
      </c>
      <c r="C17" s="189">
        <v>563</v>
      </c>
    </row>
    <row r="18" spans="1:3" ht="15.75" customHeight="1" x14ac:dyDescent="0.25">
      <c r="A18" s="21" t="s">
        <v>175</v>
      </c>
      <c r="B18" s="9" t="s">
        <v>139</v>
      </c>
      <c r="C18" s="189">
        <v>35</v>
      </c>
    </row>
    <row r="19" spans="1:3" s="12" customFormat="1" ht="15.75" customHeight="1" x14ac:dyDescent="0.25">
      <c r="A19" s="21" t="s">
        <v>176</v>
      </c>
      <c r="B19" s="9" t="s">
        <v>140</v>
      </c>
      <c r="C19" s="189">
        <v>2110</v>
      </c>
    </row>
    <row r="20" spans="1:3" s="12" customFormat="1" ht="15.75" customHeight="1" x14ac:dyDescent="0.25">
      <c r="A20" s="19" t="s">
        <v>14</v>
      </c>
      <c r="B20" s="22" t="s">
        <v>141</v>
      </c>
      <c r="C20" s="190">
        <f>C21</f>
        <v>146</v>
      </c>
    </row>
    <row r="21" spans="1:3" s="12" customFormat="1" ht="15.75" customHeight="1" x14ac:dyDescent="0.25">
      <c r="A21" s="21" t="s">
        <v>177</v>
      </c>
      <c r="B21" s="9" t="s">
        <v>148</v>
      </c>
      <c r="C21" s="189">
        <v>146</v>
      </c>
    </row>
    <row r="22" spans="1:3" ht="15.75" customHeight="1" x14ac:dyDescent="0.25">
      <c r="A22" s="19" t="s">
        <v>79</v>
      </c>
      <c r="B22" s="22" t="s">
        <v>142</v>
      </c>
      <c r="C22" s="190">
        <f>C23+C33+C40+C41</f>
        <v>2156.0500000000002</v>
      </c>
    </row>
    <row r="23" spans="1:3" ht="15.75" customHeight="1" x14ac:dyDescent="0.25">
      <c r="A23" s="19" t="s">
        <v>25</v>
      </c>
      <c r="B23" s="22" t="s">
        <v>143</v>
      </c>
      <c r="C23" s="190">
        <f>SUM(C24:C29)-C26-C27+C32</f>
        <v>457</v>
      </c>
    </row>
    <row r="24" spans="1:3" ht="15.75" customHeight="1" x14ac:dyDescent="0.25">
      <c r="A24" s="21" t="s">
        <v>172</v>
      </c>
      <c r="B24" s="9" t="s">
        <v>185</v>
      </c>
      <c r="C24" s="189">
        <v>42</v>
      </c>
    </row>
    <row r="25" spans="1:3" ht="15.75" customHeight="1" x14ac:dyDescent="0.25">
      <c r="A25" s="21" t="s">
        <v>171</v>
      </c>
      <c r="B25" s="9" t="s">
        <v>284</v>
      </c>
      <c r="C25" s="189">
        <f>SUM(C26:C27)</f>
        <v>10</v>
      </c>
    </row>
    <row r="26" spans="1:3" ht="15.75" customHeight="1" x14ac:dyDescent="0.25">
      <c r="A26" s="21" t="s">
        <v>286</v>
      </c>
      <c r="B26" s="9" t="s">
        <v>117</v>
      </c>
      <c r="C26" s="189">
        <v>10</v>
      </c>
    </row>
    <row r="27" spans="1:3" ht="15.75" customHeight="1" x14ac:dyDescent="0.25">
      <c r="A27" s="21" t="s">
        <v>287</v>
      </c>
      <c r="B27" s="9" t="s">
        <v>285</v>
      </c>
      <c r="C27" s="99"/>
    </row>
    <row r="28" spans="1:3" ht="15.75" customHeight="1" x14ac:dyDescent="0.25">
      <c r="A28" s="21" t="s">
        <v>186</v>
      </c>
      <c r="B28" s="9" t="s">
        <v>168</v>
      </c>
      <c r="C28" s="189">
        <v>95</v>
      </c>
    </row>
    <row r="29" spans="1:3" ht="15.75" customHeight="1" x14ac:dyDescent="0.25">
      <c r="A29" s="21" t="s">
        <v>187</v>
      </c>
      <c r="B29" s="9" t="s">
        <v>181</v>
      </c>
      <c r="C29" s="189">
        <f>SUM(C30:C31)</f>
        <v>100</v>
      </c>
    </row>
    <row r="30" spans="1:3" ht="15.75" customHeight="1" x14ac:dyDescent="0.25">
      <c r="A30" s="21" t="s">
        <v>188</v>
      </c>
      <c r="B30" s="9" t="s">
        <v>190</v>
      </c>
      <c r="C30" s="99">
        <v>35</v>
      </c>
    </row>
    <row r="31" spans="1:3" ht="15.75" customHeight="1" x14ac:dyDescent="0.25">
      <c r="A31" s="21" t="s">
        <v>189</v>
      </c>
      <c r="B31" s="9" t="s">
        <v>149</v>
      </c>
      <c r="C31" s="189">
        <v>65</v>
      </c>
    </row>
    <row r="32" spans="1:3" ht="15.75" customHeight="1" x14ac:dyDescent="0.25">
      <c r="A32" s="21" t="s">
        <v>307</v>
      </c>
      <c r="B32" s="9" t="s">
        <v>308</v>
      </c>
      <c r="C32" s="189">
        <v>210</v>
      </c>
    </row>
    <row r="33" spans="1:3" ht="15.75" customHeight="1" x14ac:dyDescent="0.25">
      <c r="A33" s="19" t="s">
        <v>26</v>
      </c>
      <c r="B33" s="22" t="s">
        <v>150</v>
      </c>
      <c r="C33" s="190">
        <f>C34+C35+C36+C37</f>
        <v>1263.05</v>
      </c>
    </row>
    <row r="34" spans="1:3" ht="15.75" customHeight="1" x14ac:dyDescent="0.25">
      <c r="A34" s="21" t="s">
        <v>194</v>
      </c>
      <c r="B34" s="26" t="s">
        <v>166</v>
      </c>
      <c r="C34" s="192">
        <f>'BĮ PAJAMOS'!D49</f>
        <v>332.55</v>
      </c>
    </row>
    <row r="35" spans="1:3" ht="15.75" customHeight="1" x14ac:dyDescent="0.25">
      <c r="A35" s="21" t="s">
        <v>195</v>
      </c>
      <c r="B35" s="26" t="s">
        <v>167</v>
      </c>
      <c r="C35" s="192">
        <f>'BĮ PAJAMOS'!F49</f>
        <v>172</v>
      </c>
    </row>
    <row r="36" spans="1:3" ht="31.5" customHeight="1" x14ac:dyDescent="0.25">
      <c r="A36" s="21" t="s">
        <v>196</v>
      </c>
      <c r="B36" s="26" t="s">
        <v>146</v>
      </c>
      <c r="C36" s="40">
        <f>'BĮ PAJAMOS'!E49</f>
        <v>673.5</v>
      </c>
    </row>
    <row r="37" spans="1:3" x14ac:dyDescent="0.25">
      <c r="A37" s="21" t="s">
        <v>197</v>
      </c>
      <c r="B37" s="9" t="s">
        <v>193</v>
      </c>
      <c r="C37" s="99">
        <f>SUM(C38:C39)</f>
        <v>85</v>
      </c>
    </row>
    <row r="38" spans="1:3" x14ac:dyDescent="0.25">
      <c r="A38" s="21" t="s">
        <v>198</v>
      </c>
      <c r="B38" s="9" t="s">
        <v>191</v>
      </c>
      <c r="C38" s="189">
        <v>45</v>
      </c>
    </row>
    <row r="39" spans="1:3" x14ac:dyDescent="0.25">
      <c r="A39" s="21" t="s">
        <v>199</v>
      </c>
      <c r="B39" s="9" t="s">
        <v>192</v>
      </c>
      <c r="C39" s="189">
        <v>40</v>
      </c>
    </row>
    <row r="40" spans="1:3" x14ac:dyDescent="0.25">
      <c r="A40" s="19" t="s">
        <v>27</v>
      </c>
      <c r="B40" s="22" t="s">
        <v>169</v>
      </c>
      <c r="C40" s="190">
        <v>36</v>
      </c>
    </row>
    <row r="41" spans="1:3" s="12" customFormat="1" ht="15.75" customHeight="1" x14ac:dyDescent="0.25">
      <c r="A41" s="19" t="s">
        <v>28</v>
      </c>
      <c r="B41" s="22" t="s">
        <v>144</v>
      </c>
      <c r="C41" s="190">
        <v>400</v>
      </c>
    </row>
    <row r="42" spans="1:3" s="12" customFormat="1" ht="49.5" customHeight="1" x14ac:dyDescent="0.25">
      <c r="A42" s="19"/>
      <c r="B42" s="158" t="s">
        <v>436</v>
      </c>
      <c r="C42" s="191">
        <v>50</v>
      </c>
    </row>
    <row r="43" spans="1:3" s="12" customFormat="1" x14ac:dyDescent="0.25">
      <c r="A43" s="112" t="s">
        <v>203</v>
      </c>
      <c r="B43" s="112"/>
      <c r="C43" s="100">
        <f>C22+C12</f>
        <v>40506.050000000003</v>
      </c>
    </row>
    <row r="44" spans="1:3" s="12" customFormat="1" x14ac:dyDescent="0.25">
      <c r="A44" s="102" t="s">
        <v>200</v>
      </c>
      <c r="B44" s="103"/>
      <c r="C44" s="100"/>
    </row>
    <row r="45" spans="1:3" s="12" customFormat="1" x14ac:dyDescent="0.25">
      <c r="A45" s="21" t="s">
        <v>37</v>
      </c>
      <c r="B45" s="22" t="s">
        <v>145</v>
      </c>
      <c r="C45" s="41">
        <f>SUM(C46:C47)</f>
        <v>149.69999999999999</v>
      </c>
    </row>
    <row r="46" spans="1:3" s="12" customFormat="1" x14ac:dyDescent="0.25">
      <c r="A46" s="21" t="s">
        <v>201</v>
      </c>
      <c r="B46" s="9" t="s">
        <v>170</v>
      </c>
      <c r="C46" s="192">
        <v>49</v>
      </c>
    </row>
    <row r="47" spans="1:3" s="12" customFormat="1" x14ac:dyDescent="0.25">
      <c r="A47" s="21" t="s">
        <v>202</v>
      </c>
      <c r="B47" s="9" t="s">
        <v>118</v>
      </c>
      <c r="C47" s="192">
        <f>15+85.7</f>
        <v>100.7</v>
      </c>
    </row>
    <row r="48" spans="1:3" s="12" customFormat="1" x14ac:dyDescent="0.25">
      <c r="A48" s="21"/>
      <c r="B48" s="166" t="s">
        <v>288</v>
      </c>
      <c r="C48" s="211">
        <v>85.7</v>
      </c>
    </row>
    <row r="49" spans="1:3" s="12" customFormat="1" ht="31.5" customHeight="1" x14ac:dyDescent="0.25">
      <c r="A49" s="224" t="s">
        <v>204</v>
      </c>
      <c r="B49" s="225"/>
      <c r="C49" s="100">
        <f>SUM(C45)</f>
        <v>149.69999999999999</v>
      </c>
    </row>
    <row r="50" spans="1:3" s="12" customFormat="1" x14ac:dyDescent="0.25">
      <c r="A50" s="19" t="s">
        <v>81</v>
      </c>
      <c r="B50" s="101" t="s">
        <v>152</v>
      </c>
      <c r="C50" s="41"/>
    </row>
    <row r="51" spans="1:3" s="12" customFormat="1" ht="31.5" customHeight="1" x14ac:dyDescent="0.25">
      <c r="A51" s="29" t="s">
        <v>45</v>
      </c>
      <c r="B51" s="110" t="s">
        <v>160</v>
      </c>
      <c r="C51" s="41">
        <f>C52+C80+C81+C83+C82</f>
        <v>24545.21</v>
      </c>
    </row>
    <row r="52" spans="1:3" s="12" customFormat="1" ht="31.5" x14ac:dyDescent="0.25">
      <c r="A52" s="23" t="s">
        <v>230</v>
      </c>
      <c r="B52" s="26" t="s">
        <v>205</v>
      </c>
      <c r="C52" s="40">
        <f>SUM(C53:C76)+C79-C72-C74</f>
        <v>5706.6060000000007</v>
      </c>
    </row>
    <row r="53" spans="1:3" s="12" customFormat="1" ht="31.5" customHeight="1" x14ac:dyDescent="0.25">
      <c r="A53" s="23"/>
      <c r="B53" s="138" t="s">
        <v>207</v>
      </c>
      <c r="C53" s="40">
        <v>0.9</v>
      </c>
    </row>
    <row r="54" spans="1:3" s="12" customFormat="1" x14ac:dyDescent="0.25">
      <c r="A54" s="23"/>
      <c r="B54" s="139" t="s">
        <v>295</v>
      </c>
      <c r="C54" s="40">
        <v>27.4</v>
      </c>
    </row>
    <row r="55" spans="1:3" s="12" customFormat="1" x14ac:dyDescent="0.25">
      <c r="A55" s="23"/>
      <c r="B55" s="139" t="s">
        <v>294</v>
      </c>
      <c r="C55" s="40">
        <v>10.73</v>
      </c>
    </row>
    <row r="56" spans="1:3" s="12" customFormat="1" ht="31.5" customHeight="1" x14ac:dyDescent="0.25">
      <c r="A56" s="23"/>
      <c r="B56" s="139" t="s">
        <v>296</v>
      </c>
      <c r="C56" s="40">
        <v>0.5</v>
      </c>
    </row>
    <row r="57" spans="1:3" s="12" customFormat="1" ht="15.75" customHeight="1" x14ac:dyDescent="0.25">
      <c r="A57" s="23"/>
      <c r="B57" s="139" t="s">
        <v>261</v>
      </c>
      <c r="C57" s="40">
        <v>49.7</v>
      </c>
    </row>
    <row r="58" spans="1:3" s="12" customFormat="1" ht="31.5" customHeight="1" x14ac:dyDescent="0.25">
      <c r="A58" s="23"/>
      <c r="B58" s="139" t="s">
        <v>262</v>
      </c>
      <c r="C58" s="40">
        <v>2.8</v>
      </c>
    </row>
    <row r="59" spans="1:3" s="12" customFormat="1" ht="31.5" customHeight="1" x14ac:dyDescent="0.25">
      <c r="A59" s="23"/>
      <c r="B59" s="139" t="s">
        <v>253</v>
      </c>
      <c r="C59" s="40">
        <v>60.5</v>
      </c>
    </row>
    <row r="60" spans="1:3" s="12" customFormat="1" ht="15.75" customHeight="1" x14ac:dyDescent="0.25">
      <c r="A60" s="23"/>
      <c r="B60" s="139" t="s">
        <v>297</v>
      </c>
      <c r="C60" s="40">
        <v>13</v>
      </c>
    </row>
    <row r="61" spans="1:3" s="12" customFormat="1" x14ac:dyDescent="0.25">
      <c r="A61" s="23"/>
      <c r="B61" s="139" t="s">
        <v>209</v>
      </c>
      <c r="C61" s="40">
        <v>2.4</v>
      </c>
    </row>
    <row r="62" spans="1:3" s="12" customFormat="1" x14ac:dyDescent="0.25">
      <c r="A62" s="23"/>
      <c r="B62" s="140" t="s">
        <v>301</v>
      </c>
      <c r="C62" s="40">
        <v>1069.5</v>
      </c>
    </row>
    <row r="63" spans="1:3" s="12" customFormat="1" ht="15.75" customHeight="1" x14ac:dyDescent="0.25">
      <c r="A63" s="23"/>
      <c r="B63" s="141" t="s">
        <v>254</v>
      </c>
      <c r="C63" s="40">
        <v>9</v>
      </c>
    </row>
    <row r="64" spans="1:3" s="12" customFormat="1" x14ac:dyDescent="0.25">
      <c r="A64" s="23"/>
      <c r="B64" s="141" t="s">
        <v>59</v>
      </c>
      <c r="C64" s="40">
        <v>22.3</v>
      </c>
    </row>
    <row r="65" spans="1:3" s="12" customFormat="1" ht="31.5" customHeight="1" x14ac:dyDescent="0.25">
      <c r="A65" s="23"/>
      <c r="B65" s="142" t="s">
        <v>392</v>
      </c>
      <c r="C65" s="40">
        <v>279.39999999999998</v>
      </c>
    </row>
    <row r="66" spans="1:3" s="12" customFormat="1" x14ac:dyDescent="0.25">
      <c r="A66" s="23"/>
      <c r="B66" s="142" t="s">
        <v>300</v>
      </c>
      <c r="C66" s="40">
        <v>858.6</v>
      </c>
    </row>
    <row r="67" spans="1:3" s="12" customFormat="1" x14ac:dyDescent="0.25">
      <c r="A67" s="23"/>
      <c r="B67" s="142" t="s">
        <v>157</v>
      </c>
      <c r="C67" s="40">
        <v>2354.5</v>
      </c>
    </row>
    <row r="68" spans="1:3" s="12" customFormat="1" ht="63" x14ac:dyDescent="0.25">
      <c r="A68" s="23"/>
      <c r="B68" s="142" t="s">
        <v>391</v>
      </c>
      <c r="C68" s="40">
        <v>1.3</v>
      </c>
    </row>
    <row r="69" spans="1:3" s="12" customFormat="1" ht="31.5" customHeight="1" x14ac:dyDescent="0.25">
      <c r="A69" s="23"/>
      <c r="B69" s="141" t="s">
        <v>208</v>
      </c>
      <c r="C69" s="40">
        <v>99</v>
      </c>
    </row>
    <row r="70" spans="1:3" s="12" customFormat="1" ht="32.25" customHeight="1" x14ac:dyDescent="0.25">
      <c r="A70" s="23"/>
      <c r="B70" s="141" t="s">
        <v>299</v>
      </c>
      <c r="C70" s="40">
        <v>99.4</v>
      </c>
    </row>
    <row r="71" spans="1:3" s="12" customFormat="1" x14ac:dyDescent="0.25">
      <c r="A71" s="23"/>
      <c r="B71" s="140" t="s">
        <v>263</v>
      </c>
      <c r="C71" s="40">
        <v>188.3</v>
      </c>
    </row>
    <row r="72" spans="1:3" s="12" customFormat="1" ht="15.75" customHeight="1" x14ac:dyDescent="0.25">
      <c r="A72" s="23"/>
      <c r="B72" s="146" t="s">
        <v>304</v>
      </c>
      <c r="C72" s="40"/>
    </row>
    <row r="73" spans="1:3" s="12" customFormat="1" ht="47.25" x14ac:dyDescent="0.25">
      <c r="A73" s="23"/>
      <c r="B73" s="140" t="s">
        <v>276</v>
      </c>
      <c r="C73" s="40">
        <v>196.6</v>
      </c>
    </row>
    <row r="74" spans="1:3" s="12" customFormat="1" x14ac:dyDescent="0.25">
      <c r="A74" s="23"/>
      <c r="B74" s="146" t="s">
        <v>58</v>
      </c>
      <c r="C74" s="40">
        <v>25.3</v>
      </c>
    </row>
    <row r="75" spans="1:3" s="12" customFormat="1" ht="15.75" customHeight="1" x14ac:dyDescent="0.25">
      <c r="A75" s="23"/>
      <c r="B75" s="140" t="s">
        <v>305</v>
      </c>
      <c r="C75" s="40">
        <v>16.135999999999999</v>
      </c>
    </row>
    <row r="76" spans="1:3" s="12" customFormat="1" ht="15.75" customHeight="1" x14ac:dyDescent="0.25">
      <c r="A76" s="23"/>
      <c r="B76" s="143" t="s">
        <v>257</v>
      </c>
      <c r="C76" s="40">
        <f>C77+C78</f>
        <v>344.64</v>
      </c>
    </row>
    <row r="77" spans="1:3" s="12" customFormat="1" ht="47.25" customHeight="1" x14ac:dyDescent="0.25">
      <c r="A77" s="23"/>
      <c r="B77" s="130" t="s">
        <v>256</v>
      </c>
      <c r="C77" s="145">
        <v>265.23</v>
      </c>
    </row>
    <row r="78" spans="1:3" s="12" customFormat="1" ht="39.75" customHeight="1" x14ac:dyDescent="0.25">
      <c r="A78" s="23"/>
      <c r="B78" s="131" t="s">
        <v>298</v>
      </c>
      <c r="C78" s="172">
        <v>79.41</v>
      </c>
    </row>
    <row r="79" spans="1:3" s="12" customFormat="1" ht="60" customHeight="1" x14ac:dyDescent="0.25">
      <c r="A79" s="23"/>
      <c r="B79" s="144" t="s">
        <v>259</v>
      </c>
      <c r="C79" s="40"/>
    </row>
    <row r="80" spans="1:3" s="12" customFormat="1" ht="18" customHeight="1" x14ac:dyDescent="0.25">
      <c r="A80" s="136" t="s">
        <v>46</v>
      </c>
      <c r="B80" s="26" t="s">
        <v>258</v>
      </c>
      <c r="C80" s="40">
        <v>18254.3</v>
      </c>
    </row>
    <row r="81" spans="1:3" s="12" customFormat="1" ht="53.25" customHeight="1" x14ac:dyDescent="0.25">
      <c r="A81" s="23" t="s">
        <v>47</v>
      </c>
      <c r="B81" s="26" t="s">
        <v>206</v>
      </c>
      <c r="C81" s="40">
        <v>465.9</v>
      </c>
    </row>
    <row r="82" spans="1:3" s="12" customFormat="1" ht="52.5" customHeight="1" x14ac:dyDescent="0.25">
      <c r="A82" s="23" t="s">
        <v>48</v>
      </c>
      <c r="B82" s="163" t="s">
        <v>441</v>
      </c>
      <c r="C82" s="97">
        <v>74.099999999999994</v>
      </c>
    </row>
    <row r="83" spans="1:3" s="12" customFormat="1" ht="47.25" x14ac:dyDescent="0.25">
      <c r="A83" s="23" t="s">
        <v>93</v>
      </c>
      <c r="B83" s="137" t="s">
        <v>439</v>
      </c>
      <c r="C83" s="147">
        <v>44.304000000000002</v>
      </c>
    </row>
    <row r="84" spans="1:3" s="12" customFormat="1" ht="31.5" customHeight="1" x14ac:dyDescent="0.25">
      <c r="A84" s="222" t="s">
        <v>226</v>
      </c>
      <c r="B84" s="223"/>
      <c r="C84" s="41">
        <f>C51</f>
        <v>24545.21</v>
      </c>
    </row>
    <row r="85" spans="1:3" s="12" customFormat="1" x14ac:dyDescent="0.25">
      <c r="A85" s="63" t="s">
        <v>82</v>
      </c>
      <c r="B85" s="64" t="s">
        <v>151</v>
      </c>
      <c r="C85" s="65">
        <f>SUM(C86:C88)-C87</f>
        <v>11394.23847</v>
      </c>
    </row>
    <row r="86" spans="1:3" s="12" customFormat="1" x14ac:dyDescent="0.25">
      <c r="A86" s="23" t="s">
        <v>49</v>
      </c>
      <c r="B86" s="26" t="s">
        <v>158</v>
      </c>
      <c r="C86" s="97">
        <v>7402.5990000000002</v>
      </c>
    </row>
    <row r="87" spans="1:3" s="12" customFormat="1" hidden="1" x14ac:dyDescent="0.25">
      <c r="A87" s="23"/>
      <c r="B87" s="205" t="s">
        <v>453</v>
      </c>
      <c r="C87" s="206"/>
    </row>
    <row r="88" spans="1:3" s="12" customFormat="1" x14ac:dyDescent="0.25">
      <c r="A88" s="23" t="s">
        <v>66</v>
      </c>
      <c r="B88" s="26" t="s">
        <v>399</v>
      </c>
      <c r="C88" s="41">
        <f>SUM(C89:C106)</f>
        <v>3991.6394699999996</v>
      </c>
    </row>
    <row r="89" spans="1:3" s="12" customFormat="1" x14ac:dyDescent="0.25">
      <c r="A89" s="23" t="s">
        <v>454</v>
      </c>
      <c r="B89" s="26" t="s">
        <v>245</v>
      </c>
      <c r="C89" s="97">
        <v>34.863999999999997</v>
      </c>
    </row>
    <row r="90" spans="1:3" s="12" customFormat="1" ht="15.75" customHeight="1" x14ac:dyDescent="0.25">
      <c r="A90" s="23" t="s">
        <v>455</v>
      </c>
      <c r="B90" s="26" t="s">
        <v>306</v>
      </c>
      <c r="C90" s="97">
        <v>26.4</v>
      </c>
    </row>
    <row r="91" spans="1:3" s="12" customFormat="1" ht="31.5" x14ac:dyDescent="0.25">
      <c r="A91" s="23" t="s">
        <v>456</v>
      </c>
      <c r="B91" s="134" t="s">
        <v>437</v>
      </c>
      <c r="C91" s="99">
        <v>106.6</v>
      </c>
    </row>
    <row r="92" spans="1:3" s="12" customFormat="1" ht="31.5" x14ac:dyDescent="0.25">
      <c r="A92" s="23" t="s">
        <v>457</v>
      </c>
      <c r="B92" s="137" t="s">
        <v>260</v>
      </c>
      <c r="C92" s="97">
        <v>211.93700000000001</v>
      </c>
    </row>
    <row r="93" spans="1:3" s="12" customFormat="1" x14ac:dyDescent="0.25">
      <c r="A93" s="23" t="s">
        <v>458</v>
      </c>
      <c r="B93" s="26" t="s">
        <v>394</v>
      </c>
      <c r="C93" s="97">
        <v>77.307469999999995</v>
      </c>
    </row>
    <row r="94" spans="1:3" s="12" customFormat="1" ht="31.5" x14ac:dyDescent="0.25">
      <c r="A94" s="23" t="s">
        <v>459</v>
      </c>
      <c r="B94" s="26" t="s">
        <v>310</v>
      </c>
      <c r="C94" s="97">
        <v>69.513000000000005</v>
      </c>
    </row>
    <row r="95" spans="1:3" s="12" customFormat="1" ht="31.5" x14ac:dyDescent="0.25">
      <c r="A95" s="23" t="s">
        <v>460</v>
      </c>
      <c r="B95" s="26" t="s">
        <v>272</v>
      </c>
      <c r="C95" s="97">
        <v>54.436999999999998</v>
      </c>
    </row>
    <row r="96" spans="1:3" s="12" customFormat="1" x14ac:dyDescent="0.25">
      <c r="A96" s="23" t="s">
        <v>461</v>
      </c>
      <c r="B96" s="26" t="s">
        <v>275</v>
      </c>
      <c r="C96" s="97">
        <v>95.238</v>
      </c>
    </row>
    <row r="97" spans="1:3" s="12" customFormat="1" ht="38.25" customHeight="1" x14ac:dyDescent="0.25">
      <c r="A97" s="23" t="s">
        <v>462</v>
      </c>
      <c r="B97" s="137" t="s">
        <v>255</v>
      </c>
      <c r="C97" s="97">
        <v>2099.6</v>
      </c>
    </row>
    <row r="98" spans="1:3" s="12" customFormat="1" ht="15.75" customHeight="1" x14ac:dyDescent="0.25">
      <c r="A98" s="23" t="s">
        <v>463</v>
      </c>
      <c r="B98" s="26" t="s">
        <v>393</v>
      </c>
      <c r="C98" s="97"/>
    </row>
    <row r="99" spans="1:3" s="12" customFormat="1" ht="15.75" customHeight="1" x14ac:dyDescent="0.25">
      <c r="A99" s="23" t="s">
        <v>488</v>
      </c>
      <c r="B99" s="26" t="s">
        <v>395</v>
      </c>
      <c r="C99" s="97"/>
    </row>
    <row r="100" spans="1:3" s="12" customFormat="1" ht="15.75" customHeight="1" x14ac:dyDescent="0.25">
      <c r="A100" s="23" t="s">
        <v>489</v>
      </c>
      <c r="B100" s="26" t="s">
        <v>438</v>
      </c>
      <c r="C100" s="97">
        <v>24.419</v>
      </c>
    </row>
    <row r="101" spans="1:3" s="12" customFormat="1" ht="47.25" customHeight="1" x14ac:dyDescent="0.25">
      <c r="A101" s="23" t="s">
        <v>464</v>
      </c>
      <c r="B101" s="26" t="s">
        <v>398</v>
      </c>
      <c r="C101" s="97">
        <v>62.356000000000002</v>
      </c>
    </row>
    <row r="102" spans="1:3" s="12" customFormat="1" ht="33" customHeight="1" x14ac:dyDescent="0.25">
      <c r="A102" s="23" t="s">
        <v>465</v>
      </c>
      <c r="B102" s="26" t="s">
        <v>250</v>
      </c>
      <c r="C102" s="97">
        <v>33.768000000000001</v>
      </c>
    </row>
    <row r="103" spans="1:3" s="12" customFormat="1" ht="15.75" customHeight="1" x14ac:dyDescent="0.25">
      <c r="A103" s="23" t="s">
        <v>466</v>
      </c>
      <c r="B103" s="164" t="s">
        <v>426</v>
      </c>
      <c r="C103" s="97">
        <v>34.200000000000003</v>
      </c>
    </row>
    <row r="104" spans="1:3" s="12" customFormat="1" ht="15.75" customHeight="1" x14ac:dyDescent="0.25">
      <c r="A104" s="23" t="s">
        <v>467</v>
      </c>
      <c r="B104" s="164" t="s">
        <v>427</v>
      </c>
      <c r="C104" s="97">
        <v>361</v>
      </c>
    </row>
    <row r="105" spans="1:3" s="12" customFormat="1" ht="18" customHeight="1" x14ac:dyDescent="0.25">
      <c r="A105" s="23" t="s">
        <v>468</v>
      </c>
      <c r="B105" s="164" t="s">
        <v>442</v>
      </c>
      <c r="C105" s="97">
        <v>700</v>
      </c>
    </row>
    <row r="106" spans="1:3" s="12" customFormat="1" ht="48" customHeight="1" x14ac:dyDescent="0.25">
      <c r="A106" s="23" t="s">
        <v>469</v>
      </c>
      <c r="B106" s="164" t="s">
        <v>425</v>
      </c>
      <c r="C106" s="97"/>
    </row>
    <row r="107" spans="1:3" s="12" customFormat="1" ht="15.75" customHeight="1" x14ac:dyDescent="0.25">
      <c r="A107" s="29" t="s">
        <v>221</v>
      </c>
      <c r="B107" s="25"/>
      <c r="C107" s="65">
        <f>C85</f>
        <v>11394.23847</v>
      </c>
    </row>
    <row r="108" spans="1:3" s="12" customFormat="1" ht="15.75" customHeight="1" x14ac:dyDescent="0.25">
      <c r="A108" s="104" t="s">
        <v>222</v>
      </c>
      <c r="B108" s="104"/>
      <c r="C108" s="111">
        <f>C107+C84</f>
        <v>35939.448470000003</v>
      </c>
    </row>
    <row r="109" spans="1:3" ht="15.75" customHeight="1" x14ac:dyDescent="0.25">
      <c r="A109" s="104" t="s">
        <v>223</v>
      </c>
      <c r="B109" s="104"/>
      <c r="C109" s="106">
        <f>C108+C49+C43</f>
        <v>76595.198470000003</v>
      </c>
    </row>
    <row r="110" spans="1:3" ht="15.75" customHeight="1" x14ac:dyDescent="0.25">
      <c r="A110" s="104" t="s">
        <v>83</v>
      </c>
      <c r="B110" s="105" t="s">
        <v>210</v>
      </c>
      <c r="C110" s="106">
        <f>SUM(C111:C112)</f>
        <v>14141.489000000001</v>
      </c>
    </row>
    <row r="111" spans="1:3" ht="15.75" customHeight="1" x14ac:dyDescent="0.25">
      <c r="A111" s="107" t="s">
        <v>50</v>
      </c>
      <c r="B111" s="132" t="s">
        <v>211</v>
      </c>
      <c r="C111" s="133">
        <v>9329.9660000000003</v>
      </c>
    </row>
    <row r="112" spans="1:3" ht="15.75" customHeight="1" x14ac:dyDescent="0.25">
      <c r="A112" s="107" t="s">
        <v>51</v>
      </c>
      <c r="B112" s="108" t="s">
        <v>224</v>
      </c>
      <c r="C112" s="109">
        <f>SUM(C113:C118)</f>
        <v>4811.5230000000001</v>
      </c>
    </row>
    <row r="113" spans="1:3" ht="15.75" customHeight="1" x14ac:dyDescent="0.25">
      <c r="A113" s="107" t="s">
        <v>212</v>
      </c>
      <c r="B113" s="132" t="s">
        <v>213</v>
      </c>
      <c r="C113" s="133">
        <v>54.204999999999998</v>
      </c>
    </row>
    <row r="114" spans="1:3" ht="15.75" customHeight="1" x14ac:dyDescent="0.25">
      <c r="A114" s="107" t="s">
        <v>214</v>
      </c>
      <c r="B114" s="108" t="s">
        <v>215</v>
      </c>
      <c r="C114" s="109">
        <v>312.404</v>
      </c>
    </row>
    <row r="115" spans="1:3" ht="15.75" customHeight="1" x14ac:dyDescent="0.25">
      <c r="A115" s="107" t="s">
        <v>216</v>
      </c>
      <c r="B115" s="108" t="s">
        <v>158</v>
      </c>
      <c r="C115" s="109">
        <v>439.30799999999999</v>
      </c>
    </row>
    <row r="116" spans="1:3" ht="15.75" customHeight="1" x14ac:dyDescent="0.25">
      <c r="A116" s="107" t="s">
        <v>218</v>
      </c>
      <c r="B116" s="108" t="s">
        <v>217</v>
      </c>
      <c r="C116" s="109">
        <f>438.017+245.874+54.656</f>
        <v>738.54699999999991</v>
      </c>
    </row>
    <row r="117" spans="1:3" ht="15.75" customHeight="1" x14ac:dyDescent="0.25">
      <c r="A117" s="107" t="s">
        <v>219</v>
      </c>
      <c r="B117" s="132" t="s">
        <v>220</v>
      </c>
      <c r="C117" s="109">
        <v>487.19</v>
      </c>
    </row>
    <row r="118" spans="1:3" ht="15.75" customHeight="1" thickBot="1" x14ac:dyDescent="0.3">
      <c r="A118" s="107" t="s">
        <v>225</v>
      </c>
      <c r="B118" s="169" t="s">
        <v>252</v>
      </c>
      <c r="C118" s="40">
        <v>2779.8690000000001</v>
      </c>
    </row>
    <row r="119" spans="1:3" s="12" customFormat="1" ht="15.75" customHeight="1" thickBot="1" x14ac:dyDescent="0.3">
      <c r="A119" s="170"/>
      <c r="B119" s="171" t="s">
        <v>76</v>
      </c>
      <c r="C119" s="219">
        <f>SUM(C109:C110)</f>
        <v>90736.687470000004</v>
      </c>
    </row>
    <row r="120" spans="1:3" s="12" customFormat="1" x14ac:dyDescent="0.25">
      <c r="A120" s="113"/>
      <c r="B120" s="113"/>
      <c r="C120" s="114"/>
    </row>
    <row r="121" spans="1:3" x14ac:dyDescent="0.25">
      <c r="C121" s="6"/>
    </row>
    <row r="122" spans="1:3" x14ac:dyDescent="0.25">
      <c r="C122" s="6"/>
    </row>
    <row r="123" spans="1:3" x14ac:dyDescent="0.25">
      <c r="C123" s="6"/>
    </row>
    <row r="124" spans="1:3" x14ac:dyDescent="0.25">
      <c r="C124" s="6"/>
    </row>
    <row r="125" spans="1:3" x14ac:dyDescent="0.25">
      <c r="C125" s="6"/>
    </row>
    <row r="126" spans="1:3" x14ac:dyDescent="0.25">
      <c r="C126" s="6"/>
    </row>
    <row r="127" spans="1:3" x14ac:dyDescent="0.25">
      <c r="C127" s="6"/>
    </row>
    <row r="128" spans="1:3" x14ac:dyDescent="0.25">
      <c r="C128" s="6"/>
    </row>
    <row r="129" spans="3:3" x14ac:dyDescent="0.25">
      <c r="C129" s="6"/>
    </row>
    <row r="130" spans="3:3" x14ac:dyDescent="0.25">
      <c r="C130" s="6"/>
    </row>
    <row r="131" spans="3:3" x14ac:dyDescent="0.25">
      <c r="C131" s="6"/>
    </row>
    <row r="132" spans="3:3" x14ac:dyDescent="0.25">
      <c r="C132" s="6"/>
    </row>
    <row r="133" spans="3:3" x14ac:dyDescent="0.25">
      <c r="C133" s="6"/>
    </row>
    <row r="134" spans="3:3" x14ac:dyDescent="0.25">
      <c r="C134" s="6"/>
    </row>
    <row r="135" spans="3:3" x14ac:dyDescent="0.25">
      <c r="C135" s="6"/>
    </row>
    <row r="136" spans="3:3" x14ac:dyDescent="0.25">
      <c r="C136" s="6"/>
    </row>
    <row r="137" spans="3:3" x14ac:dyDescent="0.25">
      <c r="C137" s="6"/>
    </row>
    <row r="138" spans="3:3" x14ac:dyDescent="0.25">
      <c r="C138" s="6"/>
    </row>
    <row r="139" spans="3:3" x14ac:dyDescent="0.25">
      <c r="C139" s="6"/>
    </row>
    <row r="140" spans="3:3" x14ac:dyDescent="0.25">
      <c r="C140" s="6"/>
    </row>
    <row r="141" spans="3:3" x14ac:dyDescent="0.25">
      <c r="C141" s="6"/>
    </row>
    <row r="142" spans="3:3" x14ac:dyDescent="0.25">
      <c r="C142" s="6"/>
    </row>
    <row r="143" spans="3:3" x14ac:dyDescent="0.25">
      <c r="C143" s="6"/>
    </row>
    <row r="144" spans="3:3" x14ac:dyDescent="0.25">
      <c r="C144" s="6"/>
    </row>
    <row r="145" spans="3:3" x14ac:dyDescent="0.25">
      <c r="C145" s="6"/>
    </row>
    <row r="146" spans="3:3" x14ac:dyDescent="0.25">
      <c r="C146" s="6"/>
    </row>
    <row r="147" spans="3:3" x14ac:dyDescent="0.25">
      <c r="C147" s="6"/>
    </row>
    <row r="148" spans="3:3" x14ac:dyDescent="0.25">
      <c r="C148" s="6"/>
    </row>
    <row r="149" spans="3:3" x14ac:dyDescent="0.25">
      <c r="C149" s="6"/>
    </row>
    <row r="150" spans="3:3" x14ac:dyDescent="0.25">
      <c r="C150" s="6"/>
    </row>
    <row r="151" spans="3:3" x14ac:dyDescent="0.25">
      <c r="C151" s="6"/>
    </row>
    <row r="152" spans="3:3" x14ac:dyDescent="0.25">
      <c r="C152" s="6"/>
    </row>
    <row r="153" spans="3:3" x14ac:dyDescent="0.25">
      <c r="C153" s="6"/>
    </row>
    <row r="154" spans="3:3" x14ac:dyDescent="0.25">
      <c r="C154" s="6"/>
    </row>
    <row r="155" spans="3:3" x14ac:dyDescent="0.25">
      <c r="C155" s="6"/>
    </row>
    <row r="156" spans="3:3" x14ac:dyDescent="0.25">
      <c r="C156" s="6"/>
    </row>
    <row r="157" spans="3:3" x14ac:dyDescent="0.25">
      <c r="C157" s="6"/>
    </row>
    <row r="158" spans="3:3" x14ac:dyDescent="0.25">
      <c r="C158" s="6"/>
    </row>
    <row r="159" spans="3:3" x14ac:dyDescent="0.25">
      <c r="C159" s="6"/>
    </row>
    <row r="160" spans="3:3" x14ac:dyDescent="0.25">
      <c r="C160" s="6"/>
    </row>
    <row r="161" spans="3:3" x14ac:dyDescent="0.25">
      <c r="C161" s="6"/>
    </row>
    <row r="162" spans="3:3" x14ac:dyDescent="0.25">
      <c r="C162" s="6"/>
    </row>
    <row r="163" spans="3:3" x14ac:dyDescent="0.25">
      <c r="C163" s="6"/>
    </row>
    <row r="164" spans="3:3" x14ac:dyDescent="0.25">
      <c r="C164" s="6"/>
    </row>
    <row r="165" spans="3:3" x14ac:dyDescent="0.25">
      <c r="C165" s="6"/>
    </row>
    <row r="166" spans="3:3" x14ac:dyDescent="0.25">
      <c r="C166" s="6"/>
    </row>
    <row r="167" spans="3:3" x14ac:dyDescent="0.25">
      <c r="C167" s="6"/>
    </row>
    <row r="168" spans="3:3" x14ac:dyDescent="0.25">
      <c r="C168" s="6"/>
    </row>
    <row r="169" spans="3:3" x14ac:dyDescent="0.25">
      <c r="C169" s="6"/>
    </row>
    <row r="170" spans="3:3" x14ac:dyDescent="0.25">
      <c r="C170" s="6"/>
    </row>
  </sheetData>
  <mergeCells count="5">
    <mergeCell ref="C2:C3"/>
    <mergeCell ref="A9:C9"/>
    <mergeCell ref="A84:B84"/>
    <mergeCell ref="A49:B49"/>
    <mergeCell ref="C5:C7"/>
  </mergeCells>
  <phoneticPr fontId="9" type="noConversion"/>
  <pageMargins left="0.15748031496062992" right="0" top="0.39370078740157483" bottom="0" header="0" footer="0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2"/>
  <sheetViews>
    <sheetView showZeros="0" workbookViewId="0">
      <selection activeCell="C20" sqref="C20"/>
    </sheetView>
  </sheetViews>
  <sheetFormatPr defaultColWidth="9.140625" defaultRowHeight="15.75" customHeight="1" x14ac:dyDescent="0.25"/>
  <cols>
    <col min="1" max="1" width="7" style="4" customWidth="1"/>
    <col min="2" max="2" width="54.42578125" style="4" customWidth="1"/>
    <col min="3" max="3" width="28.28515625" style="4" customWidth="1"/>
    <col min="4" max="16384" width="9.140625" style="4"/>
  </cols>
  <sheetData>
    <row r="1" spans="1:5" s="15" customFormat="1" ht="15" customHeight="1" x14ac:dyDescent="0.25">
      <c r="A1" s="4"/>
      <c r="B1" s="4"/>
      <c r="C1" s="300" t="s">
        <v>77</v>
      </c>
      <c r="D1" s="300"/>
    </row>
    <row r="2" spans="1:5" s="15" customFormat="1" ht="15" customHeight="1" x14ac:dyDescent="0.25">
      <c r="A2" s="4"/>
      <c r="B2" s="4"/>
      <c r="C2" s="305" t="s">
        <v>473</v>
      </c>
      <c r="D2" s="305"/>
    </row>
    <row r="3" spans="1:5" s="15" customFormat="1" ht="15" customHeight="1" x14ac:dyDescent="0.25">
      <c r="A3" s="4"/>
      <c r="B3" s="4"/>
      <c r="C3" s="305"/>
      <c r="D3" s="305"/>
    </row>
    <row r="4" spans="1:5" s="15" customFormat="1" ht="15" customHeight="1" x14ac:dyDescent="0.25">
      <c r="A4" s="4"/>
      <c r="B4" s="4"/>
      <c r="C4" s="305"/>
      <c r="D4" s="305"/>
      <c r="E4" s="4"/>
    </row>
    <row r="5" spans="1:5" s="15" customFormat="1" ht="15" hidden="1" customHeight="1" x14ac:dyDescent="0.25">
      <c r="A5" s="4"/>
      <c r="B5" s="4"/>
      <c r="C5" s="305" t="s">
        <v>470</v>
      </c>
      <c r="D5" s="305"/>
      <c r="E5" s="162"/>
    </row>
    <row r="6" spans="1:5" s="15" customFormat="1" ht="15" hidden="1" customHeight="1" x14ac:dyDescent="0.25">
      <c r="A6" s="4"/>
      <c r="B6" s="4"/>
      <c r="C6" s="305"/>
      <c r="D6" s="305"/>
      <c r="E6" s="162"/>
    </row>
    <row r="7" spans="1:5" s="15" customFormat="1" ht="15" hidden="1" customHeight="1" x14ac:dyDescent="0.25">
      <c r="A7" s="4"/>
      <c r="B7" s="4"/>
      <c r="C7" s="305"/>
      <c r="D7" s="305"/>
      <c r="E7" s="162"/>
    </row>
    <row r="8" spans="1:5" s="15" customFormat="1" ht="13.5" customHeight="1" x14ac:dyDescent="0.25">
      <c r="A8" s="4"/>
      <c r="B8" s="4"/>
      <c r="C8" s="4"/>
    </row>
    <row r="9" spans="1:5" s="15" customFormat="1" ht="15" customHeight="1" x14ac:dyDescent="0.25">
      <c r="A9" s="292" t="s">
        <v>478</v>
      </c>
      <c r="B9" s="292"/>
      <c r="C9" s="292"/>
    </row>
    <row r="10" spans="1:5" s="15" customFormat="1" ht="15" customHeight="1" x14ac:dyDescent="0.25">
      <c r="A10" s="292" t="s">
        <v>107</v>
      </c>
      <c r="B10" s="292"/>
      <c r="C10" s="292"/>
    </row>
    <row r="11" spans="1:5" s="15" customFormat="1" ht="15" customHeight="1" x14ac:dyDescent="0.25">
      <c r="A11" s="20"/>
      <c r="B11" s="20"/>
      <c r="C11" s="20"/>
    </row>
    <row r="12" spans="1:5" ht="15.75" customHeight="1" x14ac:dyDescent="0.25">
      <c r="C12" s="152" t="s">
        <v>271</v>
      </c>
    </row>
    <row r="13" spans="1:5" ht="24" customHeight="1" x14ac:dyDescent="0.25">
      <c r="A13" s="306" t="s">
        <v>231</v>
      </c>
      <c r="B13" s="308" t="s">
        <v>68</v>
      </c>
      <c r="C13" s="245" t="s">
        <v>74</v>
      </c>
    </row>
    <row r="14" spans="1:5" ht="24" customHeight="1" x14ac:dyDescent="0.25">
      <c r="A14" s="307"/>
      <c r="B14" s="309"/>
      <c r="C14" s="290"/>
    </row>
    <row r="15" spans="1:5" ht="24" customHeight="1" x14ac:dyDescent="0.25">
      <c r="A15" s="18" t="s">
        <v>78</v>
      </c>
      <c r="B15" s="301" t="s">
        <v>314</v>
      </c>
      <c r="C15" s="302"/>
    </row>
    <row r="16" spans="1:5" ht="24" customHeight="1" x14ac:dyDescent="0.25">
      <c r="A16" s="7" t="s">
        <v>69</v>
      </c>
      <c r="B16" s="91" t="s">
        <v>382</v>
      </c>
      <c r="C16" s="86">
        <v>16.555</v>
      </c>
    </row>
    <row r="17" spans="1:3" ht="24" customHeight="1" x14ac:dyDescent="0.25">
      <c r="A17" s="7" t="s">
        <v>13</v>
      </c>
      <c r="B17" s="91" t="s">
        <v>229</v>
      </c>
      <c r="C17" s="86">
        <v>54.655999999999999</v>
      </c>
    </row>
    <row r="18" spans="1:3" s="12" customFormat="1" ht="24" customHeight="1" x14ac:dyDescent="0.25">
      <c r="A18" s="37"/>
      <c r="B18" s="59" t="s">
        <v>76</v>
      </c>
      <c r="C18" s="87">
        <f>SUM(C16:C17)</f>
        <v>71.210999999999999</v>
      </c>
    </row>
    <row r="19" spans="1:3" s="12" customFormat="1" ht="24" customHeight="1" x14ac:dyDescent="0.25">
      <c r="A19" s="18" t="s">
        <v>79</v>
      </c>
      <c r="B19" s="303" t="s">
        <v>324</v>
      </c>
      <c r="C19" s="304"/>
    </row>
    <row r="20" spans="1:3" ht="24" customHeight="1" x14ac:dyDescent="0.25">
      <c r="A20" s="7" t="s">
        <v>25</v>
      </c>
      <c r="B20" s="91" t="s">
        <v>382</v>
      </c>
      <c r="C20" s="88">
        <v>37.65</v>
      </c>
    </row>
    <row r="21" spans="1:3" ht="24" hidden="1" customHeight="1" x14ac:dyDescent="0.25">
      <c r="A21" s="7" t="s">
        <v>26</v>
      </c>
      <c r="B21" s="32" t="s">
        <v>234</v>
      </c>
      <c r="C21" s="88"/>
    </row>
    <row r="22" spans="1:3" s="12" customFormat="1" ht="24" customHeight="1" x14ac:dyDescent="0.25">
      <c r="A22" s="37"/>
      <c r="B22" s="59" t="s">
        <v>76</v>
      </c>
      <c r="C22" s="87">
        <f>C20+C21</f>
        <v>37.65</v>
      </c>
    </row>
    <row r="23" spans="1:3" s="12" customFormat="1" ht="24" customHeight="1" x14ac:dyDescent="0.25">
      <c r="A23" s="92" t="s">
        <v>80</v>
      </c>
      <c r="B23" s="247" t="s">
        <v>323</v>
      </c>
      <c r="C23" s="248"/>
    </row>
    <row r="24" spans="1:3" s="12" customFormat="1" ht="24" customHeight="1" x14ac:dyDescent="0.25">
      <c r="A24" s="93" t="s">
        <v>37</v>
      </c>
      <c r="B24" s="32" t="s">
        <v>383</v>
      </c>
      <c r="C24" s="40">
        <v>140.80000000000001</v>
      </c>
    </row>
    <row r="25" spans="1:3" s="12" customFormat="1" ht="24" customHeight="1" x14ac:dyDescent="0.25">
      <c r="A25" s="93" t="s">
        <v>38</v>
      </c>
      <c r="B25" s="32" t="s">
        <v>234</v>
      </c>
      <c r="C25" s="40">
        <v>245.874</v>
      </c>
    </row>
    <row r="26" spans="1:3" s="12" customFormat="1" ht="24" customHeight="1" x14ac:dyDescent="0.25">
      <c r="A26" s="93" t="s">
        <v>39</v>
      </c>
      <c r="B26" s="91" t="s">
        <v>482</v>
      </c>
      <c r="C26" s="40">
        <v>297.21699999999998</v>
      </c>
    </row>
    <row r="27" spans="1:3" s="12" customFormat="1" ht="24" customHeight="1" x14ac:dyDescent="0.25">
      <c r="A27" s="24"/>
      <c r="B27" s="35" t="s">
        <v>74</v>
      </c>
      <c r="C27" s="42">
        <f>SUM(C24:C26)</f>
        <v>683.89099999999996</v>
      </c>
    </row>
    <row r="28" spans="1:3" ht="24" customHeight="1" x14ac:dyDescent="0.25">
      <c r="A28" s="89"/>
      <c r="B28" s="89" t="s">
        <v>133</v>
      </c>
      <c r="C28" s="90">
        <f>C18+C22+C27</f>
        <v>792.75199999999995</v>
      </c>
    </row>
    <row r="29" spans="1:3" ht="15.75" customHeight="1" x14ac:dyDescent="0.25">
      <c r="C29" s="45"/>
    </row>
    <row r="30" spans="1:3" ht="15.75" customHeight="1" x14ac:dyDescent="0.25">
      <c r="A30" s="123"/>
      <c r="B30" s="123"/>
      <c r="C30" s="124"/>
    </row>
    <row r="32" spans="1:3" ht="15.75" customHeight="1" x14ac:dyDescent="0.25">
      <c r="C32" s="5"/>
    </row>
  </sheetData>
  <mergeCells count="11">
    <mergeCell ref="B23:C23"/>
    <mergeCell ref="C1:D1"/>
    <mergeCell ref="B15:C15"/>
    <mergeCell ref="B19:C19"/>
    <mergeCell ref="C5:D7"/>
    <mergeCell ref="C2:D4"/>
    <mergeCell ref="A9:C9"/>
    <mergeCell ref="A10:C10"/>
    <mergeCell ref="A13:A14"/>
    <mergeCell ref="B13:B14"/>
    <mergeCell ref="C13:C14"/>
  </mergeCells>
  <phoneticPr fontId="9" type="noConversion"/>
  <pageMargins left="0.74803149606299213" right="0.15748031496062992" top="0.19685039370078741" bottom="0.19685039370078741" header="0.51181102362204722" footer="0.51181102362204722"/>
  <pageSetup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29"/>
  <sheetViews>
    <sheetView workbookViewId="0">
      <selection activeCell="C42" sqref="C42"/>
    </sheetView>
  </sheetViews>
  <sheetFormatPr defaultColWidth="9.140625" defaultRowHeight="15.75" x14ac:dyDescent="0.25"/>
  <cols>
    <col min="1" max="1" width="5.42578125" style="1" customWidth="1"/>
    <col min="2" max="2" width="54.140625" style="1" customWidth="1"/>
    <col min="3" max="3" width="30.140625" style="2" customWidth="1"/>
    <col min="4" max="16384" width="9.140625" style="1"/>
  </cols>
  <sheetData>
    <row r="1" spans="1:3" ht="24" customHeight="1" x14ac:dyDescent="0.25">
      <c r="C1" s="2" t="s">
        <v>77</v>
      </c>
    </row>
    <row r="2" spans="1:3" ht="15.75" customHeight="1" x14ac:dyDescent="0.25">
      <c r="C2" s="220" t="s">
        <v>473</v>
      </c>
    </row>
    <row r="3" spans="1:3" ht="15.75" customHeight="1" x14ac:dyDescent="0.25">
      <c r="C3" s="220"/>
    </row>
    <row r="4" spans="1:3" ht="15.75" customHeight="1" x14ac:dyDescent="0.25">
      <c r="C4" s="220"/>
    </row>
    <row r="5" spans="1:3" ht="9" hidden="1" customHeight="1" x14ac:dyDescent="0.25">
      <c r="C5" s="220" t="s">
        <v>470</v>
      </c>
    </row>
    <row r="6" spans="1:3" ht="15.75" hidden="1" customHeight="1" x14ac:dyDescent="0.25">
      <c r="C6" s="220"/>
    </row>
    <row r="7" spans="1:3" ht="11.25" hidden="1" customHeight="1" x14ac:dyDescent="0.25">
      <c r="C7" s="220"/>
    </row>
    <row r="8" spans="1:3" ht="15.75" hidden="1" customHeight="1" x14ac:dyDescent="0.25">
      <c r="C8" s="220"/>
    </row>
    <row r="9" spans="1:3" ht="15.75" customHeight="1" x14ac:dyDescent="0.25">
      <c r="C9" s="181"/>
    </row>
    <row r="10" spans="1:3" ht="20.25" customHeight="1" x14ac:dyDescent="0.25">
      <c r="B10" s="12" t="s">
        <v>478</v>
      </c>
    </row>
    <row r="11" spans="1:3" ht="21.75" customHeight="1" x14ac:dyDescent="0.25">
      <c r="A11" s="221" t="s">
        <v>162</v>
      </c>
      <c r="B11" s="221"/>
      <c r="C11" s="221"/>
    </row>
    <row r="12" spans="1:3" ht="11.25" customHeight="1" x14ac:dyDescent="0.25">
      <c r="A12" s="10"/>
      <c r="B12" s="10"/>
      <c r="C12" s="10"/>
    </row>
    <row r="13" spans="1:3" ht="16.5" customHeight="1" x14ac:dyDescent="0.25">
      <c r="C13" s="152" t="s">
        <v>271</v>
      </c>
    </row>
    <row r="14" spans="1:3" ht="19.5" customHeight="1" x14ac:dyDescent="0.25">
      <c r="A14" s="294" t="s">
        <v>232</v>
      </c>
      <c r="B14" s="231" t="s">
        <v>96</v>
      </c>
      <c r="C14" s="245" t="s">
        <v>74</v>
      </c>
    </row>
    <row r="15" spans="1:3" ht="23.25" customHeight="1" x14ac:dyDescent="0.25">
      <c r="A15" s="295"/>
      <c r="B15" s="232"/>
      <c r="C15" s="246"/>
    </row>
    <row r="16" spans="1:3" ht="24" customHeight="1" x14ac:dyDescent="0.25">
      <c r="A16" s="92" t="s">
        <v>78</v>
      </c>
      <c r="B16" s="247" t="s">
        <v>313</v>
      </c>
      <c r="C16" s="248"/>
    </row>
    <row r="17" spans="1:3" ht="24" customHeight="1" x14ac:dyDescent="0.25">
      <c r="A17" s="93" t="s">
        <v>69</v>
      </c>
      <c r="B17" s="30" t="s">
        <v>113</v>
      </c>
      <c r="C17" s="40">
        <v>50</v>
      </c>
    </row>
    <row r="18" spans="1:3" ht="24" customHeight="1" x14ac:dyDescent="0.25">
      <c r="A18" s="93" t="s">
        <v>13</v>
      </c>
      <c r="B18" s="30" t="s">
        <v>108</v>
      </c>
      <c r="C18" s="40">
        <v>45.43</v>
      </c>
    </row>
    <row r="19" spans="1:3" ht="24" customHeight="1" x14ac:dyDescent="0.25">
      <c r="A19" s="93" t="s">
        <v>14</v>
      </c>
      <c r="B19" s="30" t="s">
        <v>2</v>
      </c>
      <c r="C19" s="40">
        <v>53.262</v>
      </c>
    </row>
    <row r="20" spans="1:3" ht="24" customHeight="1" x14ac:dyDescent="0.25">
      <c r="A20" s="93" t="s">
        <v>70</v>
      </c>
      <c r="B20" s="30" t="s">
        <v>9</v>
      </c>
      <c r="C20" s="40">
        <v>3.044</v>
      </c>
    </row>
    <row r="21" spans="1:3" ht="39" customHeight="1" x14ac:dyDescent="0.25">
      <c r="A21" s="93" t="s">
        <v>15</v>
      </c>
      <c r="B21" s="30" t="s">
        <v>124</v>
      </c>
      <c r="C21" s="40">
        <v>7.7590000000000003</v>
      </c>
    </row>
    <row r="22" spans="1:3" ht="39" customHeight="1" x14ac:dyDescent="0.25">
      <c r="A22" s="93" t="s">
        <v>16</v>
      </c>
      <c r="B22" s="30" t="s">
        <v>75</v>
      </c>
      <c r="C22" s="40">
        <v>2.762</v>
      </c>
    </row>
    <row r="23" spans="1:3" ht="39" customHeight="1" x14ac:dyDescent="0.25">
      <c r="A23" s="93" t="s">
        <v>17</v>
      </c>
      <c r="B23" s="30" t="s">
        <v>155</v>
      </c>
      <c r="C23" s="40">
        <v>14.231</v>
      </c>
    </row>
    <row r="24" spans="1:3" ht="24" customHeight="1" x14ac:dyDescent="0.25">
      <c r="A24" s="93" t="s">
        <v>18</v>
      </c>
      <c r="B24" s="30" t="s">
        <v>125</v>
      </c>
      <c r="C24" s="40">
        <v>3.331</v>
      </c>
    </row>
    <row r="25" spans="1:3" ht="24" customHeight="1" x14ac:dyDescent="0.25">
      <c r="A25" s="93" t="s">
        <v>19</v>
      </c>
      <c r="B25" s="30" t="s">
        <v>71</v>
      </c>
      <c r="C25" s="40">
        <v>2.0670000000000002</v>
      </c>
    </row>
    <row r="26" spans="1:3" ht="39" customHeight="1" x14ac:dyDescent="0.25">
      <c r="A26" s="93" t="s">
        <v>20</v>
      </c>
      <c r="B26" s="30" t="s">
        <v>97</v>
      </c>
      <c r="C26" s="40">
        <v>5.0529999999999999</v>
      </c>
    </row>
    <row r="27" spans="1:3" ht="24" customHeight="1" x14ac:dyDescent="0.25">
      <c r="A27" s="93" t="s">
        <v>21</v>
      </c>
      <c r="B27" s="9" t="s">
        <v>293</v>
      </c>
      <c r="C27" s="40">
        <v>2.5739999999999998</v>
      </c>
    </row>
    <row r="28" spans="1:3" ht="24" customHeight="1" x14ac:dyDescent="0.25">
      <c r="A28" s="93" t="s">
        <v>22</v>
      </c>
      <c r="B28" s="30" t="s">
        <v>72</v>
      </c>
      <c r="C28" s="40">
        <v>7.6760000000000002</v>
      </c>
    </row>
    <row r="29" spans="1:3" ht="24" customHeight="1" x14ac:dyDescent="0.25">
      <c r="A29" s="93" t="s">
        <v>23</v>
      </c>
      <c r="B29" s="30" t="s">
        <v>73</v>
      </c>
      <c r="C29" s="40">
        <v>3.4540000000000002</v>
      </c>
    </row>
    <row r="30" spans="1:3" ht="23.25" customHeight="1" x14ac:dyDescent="0.25">
      <c r="A30" s="93" t="s">
        <v>109</v>
      </c>
      <c r="B30" s="30" t="s">
        <v>10</v>
      </c>
      <c r="C30" s="40">
        <v>4.016</v>
      </c>
    </row>
    <row r="31" spans="1:3" ht="24" customHeight="1" x14ac:dyDescent="0.25">
      <c r="A31" s="93" t="s">
        <v>24</v>
      </c>
      <c r="B31" s="30" t="s">
        <v>246</v>
      </c>
      <c r="C31" s="40"/>
    </row>
    <row r="32" spans="1:3" ht="24" customHeight="1" x14ac:dyDescent="0.25">
      <c r="A32" s="93" t="s">
        <v>110</v>
      </c>
      <c r="B32" s="30" t="s">
        <v>327</v>
      </c>
      <c r="C32" s="40">
        <v>0.85499999999999998</v>
      </c>
    </row>
    <row r="33" spans="1:3" ht="24" customHeight="1" x14ac:dyDescent="0.25">
      <c r="A33" s="93" t="s">
        <v>165</v>
      </c>
      <c r="B33" s="30" t="s">
        <v>98</v>
      </c>
      <c r="C33" s="40">
        <v>25.77</v>
      </c>
    </row>
    <row r="34" spans="1:3" ht="24" customHeight="1" x14ac:dyDescent="0.25">
      <c r="A34" s="93" t="s">
        <v>315</v>
      </c>
      <c r="B34" s="30" t="s">
        <v>291</v>
      </c>
      <c r="C34" s="40"/>
    </row>
    <row r="35" spans="1:3" ht="33.75" customHeight="1" x14ac:dyDescent="0.25">
      <c r="A35" s="93" t="s">
        <v>316</v>
      </c>
      <c r="B35" s="30" t="s">
        <v>432</v>
      </c>
      <c r="C35" s="40">
        <v>1.196</v>
      </c>
    </row>
    <row r="36" spans="1:3" ht="24" customHeight="1" x14ac:dyDescent="0.25">
      <c r="A36" s="93" t="s">
        <v>317</v>
      </c>
      <c r="B36" s="30" t="s">
        <v>99</v>
      </c>
      <c r="C36" s="40">
        <v>12.558</v>
      </c>
    </row>
    <row r="37" spans="1:3" ht="24" customHeight="1" x14ac:dyDescent="0.25">
      <c r="A37" s="93" t="s">
        <v>318</v>
      </c>
      <c r="B37" s="54" t="s">
        <v>100</v>
      </c>
      <c r="C37" s="40">
        <v>0.14000000000000001</v>
      </c>
    </row>
    <row r="38" spans="1:3" ht="24" customHeight="1" x14ac:dyDescent="0.25">
      <c r="A38" s="93" t="s">
        <v>319</v>
      </c>
      <c r="B38" s="54" t="s">
        <v>101</v>
      </c>
      <c r="C38" s="40">
        <v>0.35099999999999998</v>
      </c>
    </row>
    <row r="39" spans="1:3" ht="24" customHeight="1" x14ac:dyDescent="0.25">
      <c r="A39" s="93" t="s">
        <v>320</v>
      </c>
      <c r="B39" s="54" t="s">
        <v>102</v>
      </c>
      <c r="C39" s="40">
        <v>0.38100000000000001</v>
      </c>
    </row>
    <row r="40" spans="1:3" ht="24" customHeight="1" x14ac:dyDescent="0.25">
      <c r="A40" s="93" t="s">
        <v>321</v>
      </c>
      <c r="B40" s="54" t="s">
        <v>103</v>
      </c>
      <c r="C40" s="40">
        <v>0.223</v>
      </c>
    </row>
    <row r="41" spans="1:3" ht="24" customHeight="1" x14ac:dyDescent="0.25">
      <c r="A41" s="93" t="s">
        <v>328</v>
      </c>
      <c r="B41" s="54" t="s">
        <v>104</v>
      </c>
      <c r="C41" s="40">
        <v>0.28799999999999998</v>
      </c>
    </row>
    <row r="42" spans="1:3" s="12" customFormat="1" ht="24" customHeight="1" x14ac:dyDescent="0.25">
      <c r="A42" s="24"/>
      <c r="B42" s="35" t="s">
        <v>74</v>
      </c>
      <c r="C42" s="42">
        <f>SUM(C17:C41)</f>
        <v>246.42099999999999</v>
      </c>
    </row>
    <row r="43" spans="1:3" s="12" customFormat="1" ht="24" customHeight="1" x14ac:dyDescent="0.25">
      <c r="A43" s="92" t="s">
        <v>79</v>
      </c>
      <c r="B43" s="247" t="s">
        <v>326</v>
      </c>
      <c r="C43" s="248"/>
    </row>
    <row r="44" spans="1:3" s="12" customFormat="1" ht="24" customHeight="1" x14ac:dyDescent="0.25">
      <c r="A44" s="93" t="s">
        <v>25</v>
      </c>
      <c r="B44" s="30" t="s">
        <v>327</v>
      </c>
      <c r="C44" s="41"/>
    </row>
    <row r="45" spans="1:3" s="12" customFormat="1" ht="24" customHeight="1" x14ac:dyDescent="0.25">
      <c r="A45" s="93" t="s">
        <v>26</v>
      </c>
      <c r="B45" s="30" t="s">
        <v>246</v>
      </c>
      <c r="C45" s="40">
        <v>1.022</v>
      </c>
    </row>
    <row r="46" spans="1:3" s="12" customFormat="1" ht="24" customHeight="1" x14ac:dyDescent="0.25">
      <c r="A46" s="24"/>
      <c r="B46" s="35" t="s">
        <v>74</v>
      </c>
      <c r="C46" s="42">
        <f>SUM(C44:C45)</f>
        <v>1.022</v>
      </c>
    </row>
    <row r="47" spans="1:3" ht="24" customHeight="1" x14ac:dyDescent="0.25">
      <c r="A47" s="92" t="s">
        <v>80</v>
      </c>
      <c r="B47" s="247" t="s">
        <v>314</v>
      </c>
      <c r="C47" s="248"/>
    </row>
    <row r="48" spans="1:3" ht="24" customHeight="1" x14ac:dyDescent="0.25">
      <c r="A48" s="93" t="s">
        <v>37</v>
      </c>
      <c r="B48" s="30" t="s">
        <v>105</v>
      </c>
      <c r="C48" s="40">
        <v>5.68</v>
      </c>
    </row>
    <row r="49" spans="1:3" ht="24" customHeight="1" x14ac:dyDescent="0.25">
      <c r="A49" s="93" t="s">
        <v>38</v>
      </c>
      <c r="B49" s="30" t="s">
        <v>327</v>
      </c>
      <c r="C49" s="40">
        <v>3.363</v>
      </c>
    </row>
    <row r="50" spans="1:3" ht="39" customHeight="1" x14ac:dyDescent="0.25">
      <c r="A50" s="93" t="s">
        <v>39</v>
      </c>
      <c r="B50" s="30" t="s">
        <v>106</v>
      </c>
      <c r="C50" s="40">
        <v>1.8320000000000001</v>
      </c>
    </row>
    <row r="51" spans="1:3" ht="24" customHeight="1" x14ac:dyDescent="0.25">
      <c r="A51" s="93" t="s">
        <v>40</v>
      </c>
      <c r="B51" s="27" t="s">
        <v>115</v>
      </c>
      <c r="C51" s="40">
        <v>3.077</v>
      </c>
    </row>
    <row r="52" spans="1:3" ht="24" customHeight="1" x14ac:dyDescent="0.25">
      <c r="A52" s="93" t="s">
        <v>41</v>
      </c>
      <c r="B52" s="27" t="s">
        <v>163</v>
      </c>
      <c r="C52" s="40">
        <v>2.0939999999999999</v>
      </c>
    </row>
    <row r="53" spans="1:3" ht="24" customHeight="1" x14ac:dyDescent="0.25">
      <c r="A53" s="93" t="s">
        <v>42</v>
      </c>
      <c r="B53" s="27" t="s">
        <v>116</v>
      </c>
      <c r="C53" s="40">
        <v>5.2789999999999999</v>
      </c>
    </row>
    <row r="54" spans="1:3" ht="24" customHeight="1" x14ac:dyDescent="0.25">
      <c r="A54" s="93" t="s">
        <v>43</v>
      </c>
      <c r="B54" s="27" t="s">
        <v>119</v>
      </c>
      <c r="C54" s="40">
        <v>1.4159999999999999</v>
      </c>
    </row>
    <row r="55" spans="1:3" ht="24" customHeight="1" x14ac:dyDescent="0.25">
      <c r="A55" s="93" t="s">
        <v>44</v>
      </c>
      <c r="B55" s="27" t="s">
        <v>121</v>
      </c>
      <c r="C55" s="40">
        <v>0.23300000000000001</v>
      </c>
    </row>
    <row r="56" spans="1:3" ht="24" customHeight="1" x14ac:dyDescent="0.25">
      <c r="A56" s="93" t="s">
        <v>92</v>
      </c>
      <c r="B56" s="27" t="s">
        <v>123</v>
      </c>
      <c r="C56" s="40">
        <v>0.13100000000000001</v>
      </c>
    </row>
    <row r="57" spans="1:3" ht="24" customHeight="1" x14ac:dyDescent="0.25">
      <c r="A57" s="93" t="s">
        <v>290</v>
      </c>
      <c r="B57" s="27" t="s">
        <v>164</v>
      </c>
      <c r="C57" s="40">
        <v>1.522</v>
      </c>
    </row>
    <row r="58" spans="1:3" ht="24" customHeight="1" x14ac:dyDescent="0.25">
      <c r="A58" s="7" t="s">
        <v>339</v>
      </c>
      <c r="B58" s="27" t="s">
        <v>127</v>
      </c>
      <c r="C58" s="40">
        <v>2.3319999999999999</v>
      </c>
    </row>
    <row r="59" spans="1:3" s="12" customFormat="1" ht="24" customHeight="1" x14ac:dyDescent="0.25">
      <c r="A59" s="24"/>
      <c r="B59" s="35" t="s">
        <v>74</v>
      </c>
      <c r="C59" s="42">
        <f>SUM(C48:C58)</f>
        <v>26.959</v>
      </c>
    </row>
    <row r="60" spans="1:3" s="12" customFormat="1" ht="24" customHeight="1" x14ac:dyDescent="0.25">
      <c r="A60" s="112" t="s">
        <v>389</v>
      </c>
      <c r="B60" s="293" t="s">
        <v>323</v>
      </c>
      <c r="C60" s="293"/>
    </row>
    <row r="61" spans="1:3" s="12" customFormat="1" ht="24" customHeight="1" x14ac:dyDescent="0.25">
      <c r="A61" s="126" t="s">
        <v>390</v>
      </c>
      <c r="B61" s="30" t="s">
        <v>113</v>
      </c>
      <c r="C61" s="40">
        <v>38.002000000000002</v>
      </c>
    </row>
    <row r="62" spans="1:3" s="12" customFormat="1" ht="24" customHeight="1" x14ac:dyDescent="0.25">
      <c r="A62" s="173"/>
      <c r="B62" s="34" t="s">
        <v>74</v>
      </c>
      <c r="C62" s="42">
        <f>C61</f>
        <v>38.002000000000002</v>
      </c>
    </row>
    <row r="63" spans="1:3" s="12" customFormat="1" ht="24" customHeight="1" x14ac:dyDescent="0.25">
      <c r="A63" s="39" t="s">
        <v>133</v>
      </c>
      <c r="B63" s="39"/>
      <c r="C63" s="43">
        <f>C42+C59+C62+C46</f>
        <v>312.404</v>
      </c>
    </row>
    <row r="64" spans="1:3" ht="29.25" customHeight="1" x14ac:dyDescent="0.25">
      <c r="A64" s="32"/>
      <c r="B64" s="32"/>
      <c r="C64" s="121"/>
    </row>
    <row r="65" spans="3:3" ht="29.25" customHeight="1" x14ac:dyDescent="0.25">
      <c r="C65" s="13"/>
    </row>
    <row r="66" spans="3:3" ht="29.25" customHeight="1" x14ac:dyDescent="0.25">
      <c r="C66" s="13"/>
    </row>
    <row r="67" spans="3:3" ht="29.25" customHeight="1" x14ac:dyDescent="0.25">
      <c r="C67" s="13"/>
    </row>
    <row r="68" spans="3:3" ht="29.25" customHeight="1" x14ac:dyDescent="0.25"/>
    <row r="69" spans="3:3" ht="29.25" customHeight="1" x14ac:dyDescent="0.25"/>
    <row r="70" spans="3:3" ht="29.25" customHeight="1" x14ac:dyDescent="0.25"/>
    <row r="71" spans="3:3" ht="29.25" customHeight="1" x14ac:dyDescent="0.25"/>
    <row r="72" spans="3:3" ht="29.25" customHeight="1" x14ac:dyDescent="0.25"/>
    <row r="73" spans="3:3" ht="29.25" customHeight="1" x14ac:dyDescent="0.25"/>
    <row r="74" spans="3:3" ht="29.25" customHeight="1" x14ac:dyDescent="0.25"/>
    <row r="75" spans="3:3" ht="29.25" customHeight="1" x14ac:dyDescent="0.25"/>
    <row r="76" spans="3:3" ht="29.25" customHeight="1" x14ac:dyDescent="0.25"/>
    <row r="77" spans="3:3" ht="29.25" customHeight="1" x14ac:dyDescent="0.25"/>
    <row r="78" spans="3:3" ht="29.25" customHeight="1" x14ac:dyDescent="0.25"/>
    <row r="79" spans="3:3" ht="29.25" customHeight="1" x14ac:dyDescent="0.25"/>
    <row r="80" spans="3:3" ht="29.25" customHeight="1" x14ac:dyDescent="0.25"/>
    <row r="81" ht="29.25" customHeight="1" x14ac:dyDescent="0.25"/>
    <row r="82" ht="29.25" customHeight="1" x14ac:dyDescent="0.25"/>
    <row r="83" ht="29.25" customHeight="1" x14ac:dyDescent="0.25"/>
    <row r="84" ht="29.25" customHeight="1" x14ac:dyDescent="0.25"/>
    <row r="85" ht="29.25" customHeight="1" x14ac:dyDescent="0.25"/>
    <row r="86" ht="29.25" customHeight="1" x14ac:dyDescent="0.25"/>
    <row r="87" ht="29.25" customHeight="1" x14ac:dyDescent="0.25"/>
    <row r="88" ht="29.25" customHeight="1" x14ac:dyDescent="0.25"/>
    <row r="89" ht="29.25" customHeight="1" x14ac:dyDescent="0.25"/>
    <row r="90" ht="29.25" customHeight="1" x14ac:dyDescent="0.25"/>
    <row r="91" ht="29.25" customHeight="1" x14ac:dyDescent="0.25"/>
    <row r="92" ht="29.25" customHeight="1" x14ac:dyDescent="0.25"/>
    <row r="93" ht="29.25" customHeight="1" x14ac:dyDescent="0.25"/>
    <row r="94" ht="29.25" customHeight="1" x14ac:dyDescent="0.25"/>
    <row r="95" ht="29.25" customHeight="1" x14ac:dyDescent="0.25"/>
    <row r="96" ht="29.25" customHeight="1" x14ac:dyDescent="0.25"/>
    <row r="97" ht="29.25" customHeight="1" x14ac:dyDescent="0.25"/>
    <row r="98" ht="29.25" customHeight="1" x14ac:dyDescent="0.25"/>
    <row r="99" ht="29.25" customHeight="1" x14ac:dyDescent="0.25"/>
    <row r="100" ht="29.25" customHeight="1" x14ac:dyDescent="0.25"/>
    <row r="101" ht="29.25" customHeight="1" x14ac:dyDescent="0.25"/>
    <row r="102" ht="29.25" customHeight="1" x14ac:dyDescent="0.25"/>
    <row r="103" ht="29.25" customHeight="1" x14ac:dyDescent="0.25"/>
    <row r="104" ht="29.25" customHeight="1" x14ac:dyDescent="0.25"/>
    <row r="105" ht="29.25" customHeight="1" x14ac:dyDescent="0.25"/>
    <row r="106" ht="29.25" customHeight="1" x14ac:dyDescent="0.25"/>
    <row r="107" ht="29.25" customHeight="1" x14ac:dyDescent="0.25"/>
    <row r="108" ht="29.25" customHeight="1" x14ac:dyDescent="0.25"/>
    <row r="109" ht="29.25" customHeight="1" x14ac:dyDescent="0.25"/>
    <row r="110" ht="29.25" customHeight="1" x14ac:dyDescent="0.25"/>
    <row r="111" ht="29.25" customHeight="1" x14ac:dyDescent="0.25"/>
    <row r="112" ht="29.25" customHeight="1" x14ac:dyDescent="0.25"/>
    <row r="113" ht="29.25" customHeight="1" x14ac:dyDescent="0.25"/>
    <row r="114" ht="29.25" customHeight="1" x14ac:dyDescent="0.25"/>
    <row r="115" ht="29.25" customHeight="1" x14ac:dyDescent="0.25"/>
    <row r="116" ht="29.25" customHeight="1" x14ac:dyDescent="0.25"/>
    <row r="117" ht="29.25" customHeight="1" x14ac:dyDescent="0.25"/>
    <row r="118" ht="29.25" customHeight="1" x14ac:dyDescent="0.25"/>
    <row r="119" ht="29.25" customHeight="1" x14ac:dyDescent="0.25"/>
    <row r="120" ht="29.25" customHeight="1" x14ac:dyDescent="0.25"/>
    <row r="121" ht="29.25" customHeight="1" x14ac:dyDescent="0.25"/>
    <row r="122" ht="29.25" customHeight="1" x14ac:dyDescent="0.25"/>
    <row r="123" ht="29.25" customHeight="1" x14ac:dyDescent="0.25"/>
    <row r="124" ht="29.25" customHeight="1" x14ac:dyDescent="0.25"/>
    <row r="125" ht="29.25" customHeight="1" x14ac:dyDescent="0.25"/>
    <row r="126" ht="29.25" customHeight="1" x14ac:dyDescent="0.25"/>
    <row r="127" ht="29.25" customHeight="1" x14ac:dyDescent="0.25"/>
    <row r="128" ht="29.25" customHeight="1" x14ac:dyDescent="0.25"/>
    <row r="129" ht="29.25" customHeight="1" x14ac:dyDescent="0.25"/>
  </sheetData>
  <mergeCells count="10">
    <mergeCell ref="C2:C4"/>
    <mergeCell ref="B47:C47"/>
    <mergeCell ref="B43:C43"/>
    <mergeCell ref="B60:C60"/>
    <mergeCell ref="B16:C16"/>
    <mergeCell ref="A11:C11"/>
    <mergeCell ref="A14:A15"/>
    <mergeCell ref="B14:B15"/>
    <mergeCell ref="C14:C15"/>
    <mergeCell ref="C5:C8"/>
  </mergeCells>
  <phoneticPr fontId="11" type="noConversion"/>
  <pageMargins left="0.70866141732283472" right="0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24"/>
  <sheetViews>
    <sheetView workbookViewId="0">
      <selection activeCell="D22" sqref="D22"/>
    </sheetView>
  </sheetViews>
  <sheetFormatPr defaultColWidth="9.140625" defaultRowHeight="15.75" customHeight="1" x14ac:dyDescent="0.25"/>
  <cols>
    <col min="1" max="1" width="4.85546875" style="1" customWidth="1"/>
    <col min="2" max="2" width="49.7109375" style="1" customWidth="1"/>
    <col min="3" max="3" width="35.140625" style="1" customWidth="1"/>
    <col min="4" max="4" width="32" style="1" customWidth="1"/>
    <col min="5" max="16384" width="9.140625" style="1"/>
  </cols>
  <sheetData>
    <row r="1" spans="1:5" ht="15.75" customHeight="1" x14ac:dyDescent="0.25">
      <c r="D1" s="2" t="s">
        <v>77</v>
      </c>
    </row>
    <row r="2" spans="1:5" ht="15.75" customHeight="1" x14ac:dyDescent="0.25">
      <c r="D2" s="251" t="s">
        <v>132</v>
      </c>
      <c r="E2" s="251"/>
    </row>
    <row r="3" spans="1:5" ht="15.75" customHeight="1" x14ac:dyDescent="0.25">
      <c r="D3" s="251" t="s">
        <v>477</v>
      </c>
      <c r="E3" s="251"/>
    </row>
    <row r="4" spans="1:5" ht="15.75" hidden="1" customHeight="1" x14ac:dyDescent="0.25">
      <c r="D4" s="220" t="s">
        <v>470</v>
      </c>
      <c r="E4" s="220"/>
    </row>
    <row r="5" spans="1:5" ht="15.75" hidden="1" customHeight="1" x14ac:dyDescent="0.25">
      <c r="D5" s="220"/>
      <c r="E5" s="220"/>
    </row>
    <row r="6" spans="1:5" ht="15.75" hidden="1" customHeight="1" x14ac:dyDescent="0.25">
      <c r="D6" s="220"/>
      <c r="E6" s="220"/>
    </row>
    <row r="7" spans="1:5" ht="15.75" customHeight="1" x14ac:dyDescent="0.25">
      <c r="D7" s="181"/>
      <c r="E7" s="181"/>
    </row>
    <row r="8" spans="1:5" ht="15.75" customHeight="1" x14ac:dyDescent="0.25">
      <c r="A8" s="292" t="s">
        <v>472</v>
      </c>
      <c r="B8" s="292"/>
      <c r="C8" s="292"/>
      <c r="D8" s="292"/>
    </row>
    <row r="9" spans="1:5" ht="15.75" customHeight="1" x14ac:dyDescent="0.25">
      <c r="A9" s="292" t="s">
        <v>161</v>
      </c>
      <c r="B9" s="292"/>
      <c r="C9" s="292"/>
      <c r="D9" s="292"/>
    </row>
    <row r="10" spans="1:5" ht="15.75" customHeight="1" x14ac:dyDescent="0.25">
      <c r="C10" s="10"/>
      <c r="D10" s="152" t="s">
        <v>271</v>
      </c>
    </row>
    <row r="11" spans="1:5" ht="24.75" customHeight="1" x14ac:dyDescent="0.25">
      <c r="A11" s="252" t="s">
        <v>232</v>
      </c>
      <c r="B11" s="245" t="s">
        <v>178</v>
      </c>
      <c r="C11" s="245" t="s">
        <v>96</v>
      </c>
      <c r="D11" s="254" t="s">
        <v>74</v>
      </c>
    </row>
    <row r="12" spans="1:5" ht="22.5" customHeight="1" x14ac:dyDescent="0.25">
      <c r="A12" s="289"/>
      <c r="B12" s="290"/>
      <c r="C12" s="290"/>
      <c r="D12" s="291"/>
    </row>
    <row r="13" spans="1:5" ht="24" customHeight="1" x14ac:dyDescent="0.25">
      <c r="A13" s="29" t="s">
        <v>78</v>
      </c>
      <c r="B13" s="242" t="s">
        <v>326</v>
      </c>
      <c r="C13" s="242"/>
    </row>
    <row r="14" spans="1:5" ht="52.5" customHeight="1" x14ac:dyDescent="0.25">
      <c r="A14" s="23" t="s">
        <v>69</v>
      </c>
      <c r="B14" s="160" t="s">
        <v>484</v>
      </c>
      <c r="C14" s="245" t="s">
        <v>113</v>
      </c>
      <c r="D14" s="40">
        <v>227.643</v>
      </c>
    </row>
    <row r="15" spans="1:5" ht="24" customHeight="1" x14ac:dyDescent="0.25">
      <c r="A15" s="23"/>
      <c r="B15" s="212" t="s">
        <v>485</v>
      </c>
      <c r="C15" s="290"/>
      <c r="D15" s="211">
        <v>34.146999999999998</v>
      </c>
    </row>
    <row r="16" spans="1:5" ht="24" customHeight="1" x14ac:dyDescent="0.25">
      <c r="A16" s="61"/>
      <c r="B16" s="55" t="s">
        <v>76</v>
      </c>
      <c r="C16" s="42"/>
      <c r="D16" s="42">
        <f>SUM(D14:D14)</f>
        <v>227.643</v>
      </c>
    </row>
    <row r="17" spans="1:4" ht="24" customHeight="1" x14ac:dyDescent="0.25">
      <c r="A17" s="29" t="s">
        <v>79</v>
      </c>
      <c r="B17" s="247" t="s">
        <v>314</v>
      </c>
      <c r="C17" s="248"/>
      <c r="D17" s="248"/>
    </row>
    <row r="18" spans="1:4" ht="52.5" customHeight="1" x14ac:dyDescent="0.25">
      <c r="A18" s="23" t="s">
        <v>25</v>
      </c>
      <c r="B18" s="160" t="s">
        <v>434</v>
      </c>
      <c r="C18" s="245" t="s">
        <v>113</v>
      </c>
      <c r="D18" s="40">
        <v>0.71</v>
      </c>
    </row>
    <row r="19" spans="1:4" ht="24" customHeight="1" x14ac:dyDescent="0.25">
      <c r="A19" s="23"/>
      <c r="B19" s="212" t="s">
        <v>485</v>
      </c>
      <c r="C19" s="290"/>
      <c r="D19" s="211">
        <v>0.25700000000000001</v>
      </c>
    </row>
    <row r="20" spans="1:4" ht="52.5" customHeight="1" x14ac:dyDescent="0.25">
      <c r="A20" s="23" t="s">
        <v>26</v>
      </c>
      <c r="B20" s="160" t="s">
        <v>486</v>
      </c>
      <c r="C20" s="245" t="s">
        <v>113</v>
      </c>
      <c r="D20" s="40">
        <v>210.95500000000001</v>
      </c>
    </row>
    <row r="21" spans="1:4" ht="24" customHeight="1" x14ac:dyDescent="0.25">
      <c r="A21" s="23"/>
      <c r="B21" s="212" t="s">
        <v>485</v>
      </c>
      <c r="C21" s="290"/>
      <c r="D21" s="211">
        <v>31.643999999999998</v>
      </c>
    </row>
    <row r="22" spans="1:4" ht="24" customHeight="1" x14ac:dyDescent="0.25">
      <c r="A22" s="61"/>
      <c r="B22" s="55" t="s">
        <v>76</v>
      </c>
      <c r="C22" s="42"/>
      <c r="D22" s="42">
        <f>D18+D20</f>
        <v>211.66500000000002</v>
      </c>
    </row>
    <row r="23" spans="1:4" ht="24" customHeight="1" x14ac:dyDescent="0.25">
      <c r="A23" s="61"/>
      <c r="B23" s="55" t="s">
        <v>133</v>
      </c>
      <c r="C23" s="42"/>
      <c r="D23" s="42">
        <f>D16+D22</f>
        <v>439.30799999999999</v>
      </c>
    </row>
    <row r="24" spans="1:4" ht="15.75" customHeight="1" x14ac:dyDescent="0.25">
      <c r="A24" s="113"/>
      <c r="B24" s="113"/>
      <c r="C24" s="113"/>
      <c r="D24" s="122"/>
    </row>
  </sheetData>
  <mergeCells count="14">
    <mergeCell ref="C18:C19"/>
    <mergeCell ref="C20:C21"/>
    <mergeCell ref="D2:E2"/>
    <mergeCell ref="D3:E3"/>
    <mergeCell ref="A8:D8"/>
    <mergeCell ref="A9:D9"/>
    <mergeCell ref="B17:D17"/>
    <mergeCell ref="A11:A12"/>
    <mergeCell ref="B11:B12"/>
    <mergeCell ref="C11:C12"/>
    <mergeCell ref="D11:D12"/>
    <mergeCell ref="D4:E6"/>
    <mergeCell ref="B13:C13"/>
    <mergeCell ref="C14:C15"/>
  </mergeCells>
  <phoneticPr fontId="11" type="noConversion"/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D98"/>
  <sheetViews>
    <sheetView topLeftCell="A85" workbookViewId="0">
      <selection activeCell="C62" sqref="C62"/>
    </sheetView>
  </sheetViews>
  <sheetFormatPr defaultColWidth="9.140625" defaultRowHeight="15.75" x14ac:dyDescent="0.25"/>
  <cols>
    <col min="1" max="1" width="5.42578125" style="1" customWidth="1"/>
    <col min="2" max="2" width="59.42578125" style="1" customWidth="1"/>
    <col min="3" max="3" width="29.28515625" style="12" customWidth="1"/>
    <col min="4" max="16384" width="9.140625" style="1"/>
  </cols>
  <sheetData>
    <row r="1" spans="1:4" ht="15.75" customHeight="1" x14ac:dyDescent="0.25">
      <c r="C1" s="1" t="s">
        <v>77</v>
      </c>
    </row>
    <row r="2" spans="1:4" ht="15.75" customHeight="1" x14ac:dyDescent="0.25">
      <c r="C2" s="1" t="s">
        <v>132</v>
      </c>
    </row>
    <row r="3" spans="1:4" ht="15.75" customHeight="1" x14ac:dyDescent="0.25">
      <c r="C3" s="1" t="s">
        <v>477</v>
      </c>
    </row>
    <row r="4" spans="1:4" ht="15.75" hidden="1" customHeight="1" x14ac:dyDescent="0.25">
      <c r="C4" s="220" t="s">
        <v>470</v>
      </c>
      <c r="D4" s="220"/>
    </row>
    <row r="5" spans="1:4" ht="15.75" hidden="1" customHeight="1" x14ac:dyDescent="0.25">
      <c r="C5" s="220"/>
      <c r="D5" s="220"/>
    </row>
    <row r="6" spans="1:4" ht="17.25" hidden="1" customHeight="1" x14ac:dyDescent="0.25">
      <c r="B6" s="8"/>
      <c r="C6" s="220"/>
      <c r="D6" s="220"/>
    </row>
    <row r="7" spans="1:4" ht="17.25" customHeight="1" x14ac:dyDescent="0.25">
      <c r="B7" s="8"/>
      <c r="C7" s="181"/>
      <c r="D7" s="181"/>
    </row>
    <row r="8" spans="1:4" ht="14.25" customHeight="1" x14ac:dyDescent="0.25">
      <c r="A8" s="256" t="s">
        <v>479</v>
      </c>
      <c r="B8" s="256"/>
      <c r="C8" s="256"/>
    </row>
    <row r="9" spans="1:4" ht="17.25" customHeight="1" x14ac:dyDescent="0.25">
      <c r="A9" s="221" t="s">
        <v>265</v>
      </c>
      <c r="B9" s="221"/>
      <c r="C9" s="221"/>
    </row>
    <row r="10" spans="1:4" ht="17.25" customHeight="1" x14ac:dyDescent="0.25">
      <c r="A10" s="221" t="s">
        <v>266</v>
      </c>
      <c r="B10" s="316"/>
      <c r="C10" s="316"/>
    </row>
    <row r="11" spans="1:4" ht="17.25" customHeight="1" x14ac:dyDescent="0.25">
      <c r="B11" s="12"/>
      <c r="C11" s="154" t="s">
        <v>271</v>
      </c>
    </row>
    <row r="12" spans="1:4" s="70" customFormat="1" ht="19.5" customHeight="1" x14ac:dyDescent="0.25">
      <c r="A12" s="310" t="s">
        <v>232</v>
      </c>
      <c r="B12" s="312" t="s">
        <v>96</v>
      </c>
      <c r="C12" s="314" t="s">
        <v>74</v>
      </c>
    </row>
    <row r="13" spans="1:4" s="70" customFormat="1" ht="24.75" customHeight="1" x14ac:dyDescent="0.25">
      <c r="A13" s="311"/>
      <c r="B13" s="313"/>
      <c r="C13" s="315"/>
    </row>
    <row r="14" spans="1:4" s="70" customFormat="1" ht="24" customHeight="1" x14ac:dyDescent="0.25">
      <c r="A14" s="48" t="s">
        <v>78</v>
      </c>
      <c r="B14" s="242" t="s">
        <v>313</v>
      </c>
      <c r="C14" s="242"/>
    </row>
    <row r="15" spans="1:4" ht="24" customHeight="1" x14ac:dyDescent="0.25">
      <c r="A15" s="23" t="s">
        <v>69</v>
      </c>
      <c r="B15" s="32" t="s">
        <v>113</v>
      </c>
      <c r="C15" s="40">
        <v>4.1769999999999996</v>
      </c>
    </row>
    <row r="16" spans="1:4" s="70" customFormat="1" ht="24" customHeight="1" x14ac:dyDescent="0.25">
      <c r="A16" s="72" t="s">
        <v>13</v>
      </c>
      <c r="B16" s="32" t="s">
        <v>114</v>
      </c>
      <c r="C16" s="40">
        <v>0.06</v>
      </c>
    </row>
    <row r="17" spans="1:3" ht="24" customHeight="1" x14ac:dyDescent="0.25">
      <c r="A17" s="23" t="s">
        <v>14</v>
      </c>
      <c r="B17" s="71" t="s">
        <v>1</v>
      </c>
      <c r="C17" s="40"/>
    </row>
    <row r="18" spans="1:3" ht="24" customHeight="1" x14ac:dyDescent="0.25">
      <c r="A18" s="23" t="s">
        <v>70</v>
      </c>
      <c r="B18" s="73" t="s">
        <v>312</v>
      </c>
      <c r="C18" s="40">
        <v>0.94199999999999995</v>
      </c>
    </row>
    <row r="19" spans="1:3" ht="24" customHeight="1" x14ac:dyDescent="0.25">
      <c r="A19" s="136" t="s">
        <v>15</v>
      </c>
      <c r="B19" s="30" t="s">
        <v>108</v>
      </c>
      <c r="C19" s="40">
        <v>1.694</v>
      </c>
    </row>
    <row r="20" spans="1:3" ht="24" customHeight="1" x14ac:dyDescent="0.25">
      <c r="A20" s="136" t="s">
        <v>16</v>
      </c>
      <c r="B20" s="30" t="s">
        <v>2</v>
      </c>
      <c r="C20" s="40">
        <v>2.1629999999999998</v>
      </c>
    </row>
    <row r="21" spans="1:3" ht="24" customHeight="1" x14ac:dyDescent="0.25">
      <c r="A21" s="136" t="s">
        <v>17</v>
      </c>
      <c r="B21" s="30" t="s">
        <v>9</v>
      </c>
      <c r="C21" s="40">
        <v>1.8169999999999999</v>
      </c>
    </row>
    <row r="22" spans="1:3" ht="33.75" customHeight="1" x14ac:dyDescent="0.25">
      <c r="A22" s="136" t="s">
        <v>18</v>
      </c>
      <c r="B22" s="30" t="s">
        <v>124</v>
      </c>
      <c r="C22" s="40">
        <v>2.9409999999999998</v>
      </c>
    </row>
    <row r="23" spans="1:3" ht="24" customHeight="1" x14ac:dyDescent="0.25">
      <c r="A23" s="136" t="s">
        <v>19</v>
      </c>
      <c r="B23" s="30" t="s">
        <v>75</v>
      </c>
      <c r="C23" s="40">
        <v>2.3420000000000001</v>
      </c>
    </row>
    <row r="24" spans="1:3" ht="33.75" customHeight="1" x14ac:dyDescent="0.25">
      <c r="A24" s="136" t="s">
        <v>20</v>
      </c>
      <c r="B24" s="30" t="s">
        <v>155</v>
      </c>
      <c r="C24" s="40">
        <v>1.8839999999999999</v>
      </c>
    </row>
    <row r="25" spans="1:3" ht="24" customHeight="1" x14ac:dyDescent="0.25">
      <c r="A25" s="136" t="s">
        <v>21</v>
      </c>
      <c r="B25" s="30" t="s">
        <v>125</v>
      </c>
      <c r="C25" s="40">
        <v>8</v>
      </c>
    </row>
    <row r="26" spans="1:3" ht="24" customHeight="1" x14ac:dyDescent="0.25">
      <c r="A26" s="136" t="s">
        <v>22</v>
      </c>
      <c r="B26" s="30" t="s">
        <v>71</v>
      </c>
      <c r="C26" s="40">
        <v>5.9370000000000003</v>
      </c>
    </row>
    <row r="27" spans="1:3" ht="33.75" customHeight="1" x14ac:dyDescent="0.25">
      <c r="A27" s="136" t="s">
        <v>23</v>
      </c>
      <c r="B27" s="30" t="s">
        <v>97</v>
      </c>
      <c r="C27" s="40">
        <v>9.4559999999999995</v>
      </c>
    </row>
    <row r="28" spans="1:3" ht="24" customHeight="1" x14ac:dyDescent="0.25">
      <c r="A28" s="136" t="s">
        <v>109</v>
      </c>
      <c r="B28" s="30" t="s">
        <v>293</v>
      </c>
      <c r="C28" s="40">
        <v>2.1269999999999998</v>
      </c>
    </row>
    <row r="29" spans="1:3" ht="24" customHeight="1" x14ac:dyDescent="0.25">
      <c r="A29" s="93" t="s">
        <v>24</v>
      </c>
      <c r="B29" s="30" t="s">
        <v>72</v>
      </c>
      <c r="C29" s="40">
        <v>12.034000000000001</v>
      </c>
    </row>
    <row r="30" spans="1:3" ht="24" customHeight="1" x14ac:dyDescent="0.25">
      <c r="A30" s="93" t="s">
        <v>110</v>
      </c>
      <c r="B30" s="30" t="s">
        <v>73</v>
      </c>
      <c r="C30" s="40">
        <v>0.94899999999999995</v>
      </c>
    </row>
    <row r="31" spans="1:3" ht="24" customHeight="1" x14ac:dyDescent="0.25">
      <c r="A31" s="93" t="s">
        <v>165</v>
      </c>
      <c r="B31" s="30" t="s">
        <v>10</v>
      </c>
      <c r="C31" s="40">
        <v>0.63800000000000001</v>
      </c>
    </row>
    <row r="32" spans="1:3" ht="24" customHeight="1" x14ac:dyDescent="0.25">
      <c r="A32" s="93" t="s">
        <v>315</v>
      </c>
      <c r="B32" s="30" t="s">
        <v>246</v>
      </c>
      <c r="C32" s="40">
        <v>0.313</v>
      </c>
    </row>
    <row r="33" spans="1:3" ht="24" customHeight="1" x14ac:dyDescent="0.25">
      <c r="A33" s="93" t="s">
        <v>316</v>
      </c>
      <c r="B33" s="30" t="s">
        <v>327</v>
      </c>
      <c r="C33" s="40">
        <v>2.101</v>
      </c>
    </row>
    <row r="34" spans="1:3" ht="24" customHeight="1" x14ac:dyDescent="0.25">
      <c r="A34" s="93" t="s">
        <v>317</v>
      </c>
      <c r="B34" s="82" t="s">
        <v>247</v>
      </c>
      <c r="C34" s="40">
        <v>0.28199999999999997</v>
      </c>
    </row>
    <row r="35" spans="1:3" ht="24" customHeight="1" x14ac:dyDescent="0.25">
      <c r="A35" s="93" t="s">
        <v>318</v>
      </c>
      <c r="B35" s="30" t="s">
        <v>98</v>
      </c>
      <c r="C35" s="40">
        <v>1.762</v>
      </c>
    </row>
    <row r="36" spans="1:3" ht="24" customHeight="1" x14ac:dyDescent="0.25">
      <c r="A36" s="93" t="s">
        <v>319</v>
      </c>
      <c r="B36" s="30" t="s">
        <v>291</v>
      </c>
      <c r="C36" s="40">
        <v>8.6539999999999999</v>
      </c>
    </row>
    <row r="37" spans="1:3" ht="24" customHeight="1" x14ac:dyDescent="0.25">
      <c r="A37" s="23" t="s">
        <v>320</v>
      </c>
      <c r="B37" s="30" t="s">
        <v>432</v>
      </c>
      <c r="C37" s="40">
        <v>1.7709999999999999</v>
      </c>
    </row>
    <row r="38" spans="1:3" ht="24" customHeight="1" x14ac:dyDescent="0.25">
      <c r="A38" s="23" t="s">
        <v>321</v>
      </c>
      <c r="B38" s="30" t="s">
        <v>337</v>
      </c>
      <c r="C38" s="40">
        <v>0.60399999999999998</v>
      </c>
    </row>
    <row r="39" spans="1:3" ht="24" customHeight="1" x14ac:dyDescent="0.25">
      <c r="A39" s="23" t="s">
        <v>328</v>
      </c>
      <c r="B39" s="27" t="s">
        <v>99</v>
      </c>
      <c r="C39" s="40">
        <v>1.2410000000000001</v>
      </c>
    </row>
    <row r="40" spans="1:3" ht="24" customHeight="1" x14ac:dyDescent="0.25">
      <c r="A40" s="23" t="s">
        <v>329</v>
      </c>
      <c r="B40" s="36" t="s">
        <v>100</v>
      </c>
      <c r="C40" s="40">
        <v>0.16200000000000001</v>
      </c>
    </row>
    <row r="41" spans="1:3" ht="24" customHeight="1" x14ac:dyDescent="0.25">
      <c r="A41" s="23" t="s">
        <v>330</v>
      </c>
      <c r="B41" s="36" t="s">
        <v>101</v>
      </c>
      <c r="C41" s="40">
        <v>0.121</v>
      </c>
    </row>
    <row r="42" spans="1:3" ht="24" customHeight="1" x14ac:dyDescent="0.25">
      <c r="A42" s="23" t="s">
        <v>331</v>
      </c>
      <c r="B42" s="36" t="s">
        <v>102</v>
      </c>
      <c r="C42" s="40">
        <v>4.4729999999999999</v>
      </c>
    </row>
    <row r="43" spans="1:3" ht="24" customHeight="1" x14ac:dyDescent="0.25">
      <c r="A43" s="23" t="s">
        <v>332</v>
      </c>
      <c r="B43" s="36" t="s">
        <v>103</v>
      </c>
      <c r="C43" s="40">
        <v>0.79800000000000004</v>
      </c>
    </row>
    <row r="44" spans="1:3" ht="24" customHeight="1" x14ac:dyDescent="0.25">
      <c r="A44" s="23" t="s">
        <v>333</v>
      </c>
      <c r="B44" s="174" t="s">
        <v>104</v>
      </c>
      <c r="C44" s="40">
        <v>0.435</v>
      </c>
    </row>
    <row r="45" spans="1:3" ht="24" customHeight="1" x14ac:dyDescent="0.25">
      <c r="A45" s="23" t="s">
        <v>334</v>
      </c>
      <c r="B45" s="17" t="s">
        <v>105</v>
      </c>
      <c r="C45" s="40">
        <v>8.6839999999999993</v>
      </c>
    </row>
    <row r="46" spans="1:3" ht="33.75" customHeight="1" x14ac:dyDescent="0.25">
      <c r="A46" s="23" t="s">
        <v>335</v>
      </c>
      <c r="B46" s="71" t="s">
        <v>106</v>
      </c>
      <c r="C46" s="40">
        <v>0.20100000000000001</v>
      </c>
    </row>
    <row r="47" spans="1:3" ht="24" customHeight="1" x14ac:dyDescent="0.25">
      <c r="A47" s="23" t="s">
        <v>336</v>
      </c>
      <c r="B47" s="30" t="s">
        <v>115</v>
      </c>
      <c r="C47" s="40">
        <v>0.21099999999999999</v>
      </c>
    </row>
    <row r="48" spans="1:3" ht="24" customHeight="1" x14ac:dyDescent="0.25">
      <c r="A48" s="23" t="s">
        <v>338</v>
      </c>
      <c r="B48" s="30" t="s">
        <v>163</v>
      </c>
      <c r="C48" s="40">
        <v>0.70899999999999996</v>
      </c>
    </row>
    <row r="49" spans="1:3" ht="24" customHeight="1" x14ac:dyDescent="0.25">
      <c r="A49" s="23" t="s">
        <v>349</v>
      </c>
      <c r="B49" s="30" t="s">
        <v>116</v>
      </c>
      <c r="C49" s="40">
        <v>0.20899999999999999</v>
      </c>
    </row>
    <row r="50" spans="1:3" ht="24" customHeight="1" x14ac:dyDescent="0.25">
      <c r="A50" s="23" t="s">
        <v>350</v>
      </c>
      <c r="B50" s="30" t="s">
        <v>126</v>
      </c>
      <c r="C50" s="40">
        <v>4.2000000000000003E-2</v>
      </c>
    </row>
    <row r="51" spans="1:3" ht="24" customHeight="1" x14ac:dyDescent="0.25">
      <c r="A51" s="23" t="s">
        <v>351</v>
      </c>
      <c r="B51" s="30" t="s">
        <v>119</v>
      </c>
      <c r="C51" s="40">
        <v>0.53100000000000003</v>
      </c>
    </row>
    <row r="52" spans="1:3" ht="24" customHeight="1" x14ac:dyDescent="0.25">
      <c r="A52" s="23" t="s">
        <v>352</v>
      </c>
      <c r="B52" s="30" t="s">
        <v>120</v>
      </c>
      <c r="C52" s="40">
        <v>1.028</v>
      </c>
    </row>
    <row r="53" spans="1:3" ht="24" customHeight="1" x14ac:dyDescent="0.25">
      <c r="A53" s="23" t="s">
        <v>353</v>
      </c>
      <c r="B53" s="30" t="s">
        <v>121</v>
      </c>
      <c r="C53" s="40">
        <v>3.1190000000000002</v>
      </c>
    </row>
    <row r="54" spans="1:3" ht="24" customHeight="1" x14ac:dyDescent="0.25">
      <c r="A54" s="23" t="s">
        <v>354</v>
      </c>
      <c r="B54" s="30" t="s">
        <v>122</v>
      </c>
      <c r="C54" s="40">
        <v>1.2509999999999999</v>
      </c>
    </row>
    <row r="55" spans="1:3" ht="24" customHeight="1" x14ac:dyDescent="0.25">
      <c r="A55" s="23" t="s">
        <v>355</v>
      </c>
      <c r="B55" s="30" t="s">
        <v>123</v>
      </c>
      <c r="C55" s="40">
        <v>7.0000000000000007E-2</v>
      </c>
    </row>
    <row r="56" spans="1:3" ht="24" customHeight="1" x14ac:dyDescent="0.25">
      <c r="A56" s="23" t="s">
        <v>356</v>
      </c>
      <c r="B56" s="30" t="s">
        <v>164</v>
      </c>
      <c r="C56" s="40">
        <v>0.89600000000000002</v>
      </c>
    </row>
    <row r="57" spans="1:3" ht="24" customHeight="1" x14ac:dyDescent="0.25">
      <c r="A57" s="23" t="s">
        <v>388</v>
      </c>
      <c r="B57" s="30" t="s">
        <v>127</v>
      </c>
      <c r="C57" s="40">
        <v>0.152</v>
      </c>
    </row>
    <row r="58" spans="1:3" ht="24" customHeight="1" x14ac:dyDescent="0.25">
      <c r="A58" s="24"/>
      <c r="B58" s="35" t="s">
        <v>74</v>
      </c>
      <c r="C58" s="42">
        <f>SUM(C15:C57)</f>
        <v>96.981000000000009</v>
      </c>
    </row>
    <row r="59" spans="1:3" ht="24" customHeight="1" x14ac:dyDescent="0.25">
      <c r="A59" s="29" t="s">
        <v>79</v>
      </c>
      <c r="B59" s="242" t="s">
        <v>326</v>
      </c>
      <c r="C59" s="242"/>
    </row>
    <row r="60" spans="1:3" ht="24" customHeight="1" x14ac:dyDescent="0.25">
      <c r="A60" s="23" t="s">
        <v>25</v>
      </c>
      <c r="B60" s="75" t="s">
        <v>71</v>
      </c>
      <c r="C60" s="40">
        <v>0.34399999999999997</v>
      </c>
    </row>
    <row r="61" spans="1:3" ht="24" customHeight="1" x14ac:dyDescent="0.25">
      <c r="A61" s="23" t="s">
        <v>26</v>
      </c>
      <c r="B61" s="75" t="s">
        <v>99</v>
      </c>
      <c r="C61" s="40">
        <v>2.3E-2</v>
      </c>
    </row>
    <row r="62" spans="1:3" ht="24" customHeight="1" x14ac:dyDescent="0.25">
      <c r="A62" s="24"/>
      <c r="B62" s="35" t="s">
        <v>74</v>
      </c>
      <c r="C62" s="42">
        <f>SUM(C60:C61)</f>
        <v>0.36699999999999999</v>
      </c>
    </row>
    <row r="63" spans="1:3" ht="24" customHeight="1" x14ac:dyDescent="0.25">
      <c r="A63" s="29" t="s">
        <v>80</v>
      </c>
      <c r="B63" s="242" t="s">
        <v>314</v>
      </c>
      <c r="C63" s="242"/>
    </row>
    <row r="64" spans="1:3" s="12" customFormat="1" ht="24" customHeight="1" x14ac:dyDescent="0.25">
      <c r="A64" s="23" t="s">
        <v>37</v>
      </c>
      <c r="B64" s="75" t="s">
        <v>113</v>
      </c>
      <c r="C64" s="40">
        <v>332.25599999999997</v>
      </c>
    </row>
    <row r="65" spans="1:3" s="12" customFormat="1" ht="24" customHeight="1" x14ac:dyDescent="0.25">
      <c r="A65" s="23" t="s">
        <v>38</v>
      </c>
      <c r="B65" s="75" t="s">
        <v>125</v>
      </c>
      <c r="C65" s="40">
        <v>0.63800000000000001</v>
      </c>
    </row>
    <row r="66" spans="1:3" s="12" customFormat="1" ht="24" customHeight="1" x14ac:dyDescent="0.25">
      <c r="A66" s="23" t="s">
        <v>39</v>
      </c>
      <c r="B66" s="75" t="s">
        <v>97</v>
      </c>
      <c r="C66" s="40">
        <v>1.6040000000000001</v>
      </c>
    </row>
    <row r="67" spans="1:3" s="12" customFormat="1" ht="24" customHeight="1" x14ac:dyDescent="0.25">
      <c r="A67" s="23" t="s">
        <v>40</v>
      </c>
      <c r="B67" s="75" t="s">
        <v>72</v>
      </c>
      <c r="C67" s="40">
        <v>0.42599999999999999</v>
      </c>
    </row>
    <row r="68" spans="1:3" s="12" customFormat="1" ht="24" customHeight="1" x14ac:dyDescent="0.25">
      <c r="A68" s="23" t="s">
        <v>41</v>
      </c>
      <c r="B68" s="75" t="s">
        <v>73</v>
      </c>
      <c r="C68" s="40">
        <v>0.107</v>
      </c>
    </row>
    <row r="69" spans="1:3" s="12" customFormat="1" ht="24" customHeight="1" x14ac:dyDescent="0.25">
      <c r="A69" s="23" t="s">
        <v>42</v>
      </c>
      <c r="B69" s="75" t="s">
        <v>327</v>
      </c>
      <c r="C69" s="40">
        <v>0.89600000000000002</v>
      </c>
    </row>
    <row r="70" spans="1:3" s="12" customFormat="1" ht="24" customHeight="1" x14ac:dyDescent="0.25">
      <c r="A70" s="23" t="s">
        <v>43</v>
      </c>
      <c r="B70" s="75" t="s">
        <v>105</v>
      </c>
      <c r="C70" s="40">
        <v>2.4830000000000001</v>
      </c>
    </row>
    <row r="71" spans="1:3" ht="24" customHeight="1" x14ac:dyDescent="0.25">
      <c r="A71" s="24"/>
      <c r="B71" s="35" t="s">
        <v>74</v>
      </c>
      <c r="C71" s="42">
        <f>SUM(C64:C70)</f>
        <v>338.40999999999997</v>
      </c>
    </row>
    <row r="72" spans="1:3" s="12" customFormat="1" ht="21.75" customHeight="1" x14ac:dyDescent="0.25">
      <c r="A72" s="29" t="s">
        <v>81</v>
      </c>
      <c r="B72" s="247" t="s">
        <v>361</v>
      </c>
      <c r="C72" s="248"/>
    </row>
    <row r="73" spans="1:3" s="12" customFormat="1" ht="21.75" customHeight="1" x14ac:dyDescent="0.25">
      <c r="A73" s="23" t="s">
        <v>37</v>
      </c>
      <c r="B73" s="30" t="s">
        <v>115</v>
      </c>
      <c r="C73" s="40">
        <f>0.372+2.154</f>
        <v>2.5259999999999998</v>
      </c>
    </row>
    <row r="74" spans="1:3" s="12" customFormat="1" ht="21.75" customHeight="1" x14ac:dyDescent="0.25">
      <c r="A74" s="23" t="s">
        <v>38</v>
      </c>
      <c r="B74" s="30" t="s">
        <v>163</v>
      </c>
      <c r="C74" s="40">
        <v>1.7000000000000001E-2</v>
      </c>
    </row>
    <row r="75" spans="1:3" s="12" customFormat="1" ht="21.75" customHeight="1" x14ac:dyDescent="0.25">
      <c r="A75" s="23" t="s">
        <v>381</v>
      </c>
      <c r="B75" s="30" t="s">
        <v>116</v>
      </c>
      <c r="C75" s="40">
        <v>1.5189999999999999</v>
      </c>
    </row>
    <row r="76" spans="1:3" s="12" customFormat="1" ht="21.75" customHeight="1" x14ac:dyDescent="0.25">
      <c r="A76" s="23" t="s">
        <v>40</v>
      </c>
      <c r="B76" s="30" t="s">
        <v>119</v>
      </c>
      <c r="C76" s="40">
        <v>1.161</v>
      </c>
    </row>
    <row r="77" spans="1:3" s="12" customFormat="1" ht="21.75" customHeight="1" x14ac:dyDescent="0.25">
      <c r="A77" s="23" t="s">
        <v>41</v>
      </c>
      <c r="B77" s="30" t="s">
        <v>120</v>
      </c>
      <c r="C77" s="40"/>
    </row>
    <row r="78" spans="1:3" s="12" customFormat="1" ht="21.75" customHeight="1" x14ac:dyDescent="0.25">
      <c r="A78" s="23" t="s">
        <v>42</v>
      </c>
      <c r="B78" s="30" t="s">
        <v>121</v>
      </c>
      <c r="C78" s="40">
        <v>1.4999999999999999E-2</v>
      </c>
    </row>
    <row r="79" spans="1:3" s="12" customFormat="1" ht="21.75" customHeight="1" x14ac:dyDescent="0.25">
      <c r="A79" s="23" t="s">
        <v>433</v>
      </c>
      <c r="B79" s="30" t="s">
        <v>122</v>
      </c>
      <c r="C79" s="40">
        <v>0.86699999999999999</v>
      </c>
    </row>
    <row r="80" spans="1:3" s="12" customFormat="1" ht="21.75" customHeight="1" x14ac:dyDescent="0.25">
      <c r="A80" s="23" t="s">
        <v>44</v>
      </c>
      <c r="B80" s="30" t="s">
        <v>164</v>
      </c>
      <c r="C80" s="40">
        <v>2.448</v>
      </c>
    </row>
    <row r="81" spans="1:3" s="12" customFormat="1" ht="21.75" customHeight="1" x14ac:dyDescent="0.25">
      <c r="A81" s="23" t="s">
        <v>92</v>
      </c>
      <c r="B81" s="30" t="s">
        <v>127</v>
      </c>
      <c r="C81" s="40">
        <v>5.8999999999999997E-2</v>
      </c>
    </row>
    <row r="82" spans="1:3" s="12" customFormat="1" ht="18" customHeight="1" x14ac:dyDescent="0.25">
      <c r="A82" s="61"/>
      <c r="B82" s="35" t="s">
        <v>74</v>
      </c>
      <c r="C82" s="42">
        <f>SUM(C73:C81)</f>
        <v>8.6119999999999983</v>
      </c>
    </row>
    <row r="83" spans="1:3" ht="24" customHeight="1" x14ac:dyDescent="0.25">
      <c r="A83" s="29" t="s">
        <v>389</v>
      </c>
      <c r="B83" s="247" t="s">
        <v>323</v>
      </c>
      <c r="C83" s="248"/>
    </row>
    <row r="84" spans="1:3" ht="24" customHeight="1" x14ac:dyDescent="0.25">
      <c r="A84" s="23" t="s">
        <v>45</v>
      </c>
      <c r="B84" s="32" t="s">
        <v>113</v>
      </c>
      <c r="C84" s="40">
        <f>1.657+28.449</f>
        <v>30.106000000000002</v>
      </c>
    </row>
    <row r="85" spans="1:3" ht="24" customHeight="1" x14ac:dyDescent="0.25">
      <c r="A85" s="23" t="s">
        <v>46</v>
      </c>
      <c r="B85" s="30" t="s">
        <v>115</v>
      </c>
      <c r="C85" s="40">
        <v>1.4410000000000001</v>
      </c>
    </row>
    <row r="86" spans="1:3" ht="24" customHeight="1" x14ac:dyDescent="0.25">
      <c r="A86" s="23" t="s">
        <v>47</v>
      </c>
      <c r="B86" s="30" t="s">
        <v>163</v>
      </c>
      <c r="C86" s="40">
        <v>1.2509999999999999</v>
      </c>
    </row>
    <row r="87" spans="1:3" ht="24" customHeight="1" x14ac:dyDescent="0.25">
      <c r="A87" s="23" t="s">
        <v>48</v>
      </c>
      <c r="B87" s="30" t="s">
        <v>116</v>
      </c>
      <c r="C87" s="40">
        <v>1.6519999999999999</v>
      </c>
    </row>
    <row r="88" spans="1:3" ht="24" customHeight="1" x14ac:dyDescent="0.25">
      <c r="A88" s="23" t="s">
        <v>93</v>
      </c>
      <c r="B88" s="30" t="s">
        <v>126</v>
      </c>
      <c r="C88" s="40">
        <v>1.9E-2</v>
      </c>
    </row>
    <row r="89" spans="1:3" ht="24" customHeight="1" x14ac:dyDescent="0.25">
      <c r="A89" s="23" t="s">
        <v>94</v>
      </c>
      <c r="B89" s="30" t="s">
        <v>119</v>
      </c>
      <c r="C89" s="40">
        <v>0.627</v>
      </c>
    </row>
    <row r="90" spans="1:3" ht="24" customHeight="1" x14ac:dyDescent="0.25">
      <c r="A90" s="23" t="s">
        <v>95</v>
      </c>
      <c r="B90" s="30" t="s">
        <v>120</v>
      </c>
      <c r="C90" s="40">
        <v>0.23899999999999999</v>
      </c>
    </row>
    <row r="91" spans="1:3" ht="24" customHeight="1" x14ac:dyDescent="0.25">
      <c r="A91" s="23" t="s">
        <v>52</v>
      </c>
      <c r="B91" s="30" t="s">
        <v>121</v>
      </c>
      <c r="C91" s="40">
        <v>0.67800000000000005</v>
      </c>
    </row>
    <row r="92" spans="1:3" ht="24" customHeight="1" x14ac:dyDescent="0.25">
      <c r="A92" s="23" t="s">
        <v>53</v>
      </c>
      <c r="B92" s="30" t="s">
        <v>122</v>
      </c>
      <c r="C92" s="40">
        <v>4.0209999999999999</v>
      </c>
    </row>
    <row r="93" spans="1:3" ht="24" customHeight="1" x14ac:dyDescent="0.25">
      <c r="A93" s="23" t="s">
        <v>54</v>
      </c>
      <c r="B93" s="30" t="s">
        <v>123</v>
      </c>
      <c r="C93" s="40">
        <v>0.53</v>
      </c>
    </row>
    <row r="94" spans="1:3" ht="24" customHeight="1" x14ac:dyDescent="0.25">
      <c r="A94" s="23" t="s">
        <v>55</v>
      </c>
      <c r="B94" s="30" t="s">
        <v>164</v>
      </c>
      <c r="C94" s="40">
        <v>1.3080000000000001</v>
      </c>
    </row>
    <row r="95" spans="1:3" ht="24" customHeight="1" x14ac:dyDescent="0.25">
      <c r="A95" s="23" t="s">
        <v>56</v>
      </c>
      <c r="B95" s="30" t="s">
        <v>127</v>
      </c>
      <c r="C95" s="40">
        <v>0.94799999999999995</v>
      </c>
    </row>
    <row r="96" spans="1:3" ht="18" customHeight="1" x14ac:dyDescent="0.25">
      <c r="A96" s="24"/>
      <c r="B96" s="35" t="s">
        <v>74</v>
      </c>
      <c r="C96" s="42">
        <f>SUM(C84:C95)</f>
        <v>42.82</v>
      </c>
    </row>
    <row r="97" spans="1:3" s="12" customFormat="1" ht="24" customHeight="1" x14ac:dyDescent="0.25">
      <c r="A97" s="241" t="s">
        <v>133</v>
      </c>
      <c r="B97" s="227"/>
      <c r="C97" s="125">
        <f>C96+C82+C71+C58+C62</f>
        <v>487.19</v>
      </c>
    </row>
    <row r="98" spans="1:3" ht="34.5" customHeight="1" x14ac:dyDescent="0.25">
      <c r="A98" s="32"/>
      <c r="B98" s="118"/>
      <c r="C98" s="119"/>
    </row>
  </sheetData>
  <mergeCells count="13">
    <mergeCell ref="B63:C63"/>
    <mergeCell ref="B72:C72"/>
    <mergeCell ref="B83:C83"/>
    <mergeCell ref="A97:B97"/>
    <mergeCell ref="A10:C10"/>
    <mergeCell ref="B14:C14"/>
    <mergeCell ref="B59:C59"/>
    <mergeCell ref="C4:D6"/>
    <mergeCell ref="A8:C8"/>
    <mergeCell ref="A9:C9"/>
    <mergeCell ref="A12:A13"/>
    <mergeCell ref="B12:B13"/>
    <mergeCell ref="C12:C13"/>
  </mergeCells>
  <pageMargins left="0.78740157480314965" right="0.39370078740157483" top="0.39370078740157483" bottom="0.39370078740157483" header="0.31496062992125984" footer="0.31496062992125984"/>
  <pageSetup paperSize="9" scale="82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3"/>
  <sheetViews>
    <sheetView topLeftCell="A9" workbookViewId="0">
      <selection activeCell="D25" sqref="D25"/>
    </sheetView>
  </sheetViews>
  <sheetFormatPr defaultColWidth="9.140625" defaultRowHeight="15.75" x14ac:dyDescent="0.25"/>
  <cols>
    <col min="1" max="1" width="4.85546875" style="1" customWidth="1"/>
    <col min="2" max="2" width="49.7109375" style="1" customWidth="1"/>
    <col min="3" max="3" width="35.140625" style="1" customWidth="1"/>
    <col min="4" max="4" width="32" style="1" customWidth="1"/>
    <col min="5" max="16384" width="9.140625" style="1"/>
  </cols>
  <sheetData>
    <row r="1" spans="1:5" ht="15.75" customHeight="1" x14ac:dyDescent="0.25">
      <c r="D1" s="2" t="s">
        <v>77</v>
      </c>
    </row>
    <row r="2" spans="1:5" ht="15.75" customHeight="1" x14ac:dyDescent="0.25">
      <c r="D2" s="251" t="s">
        <v>132</v>
      </c>
      <c r="E2" s="251"/>
    </row>
    <row r="3" spans="1:5" ht="15.75" customHeight="1" x14ac:dyDescent="0.25">
      <c r="D3" s="251" t="s">
        <v>477</v>
      </c>
      <c r="E3" s="251"/>
    </row>
    <row r="4" spans="1:5" ht="15.75" customHeight="1" x14ac:dyDescent="0.25"/>
    <row r="5" spans="1:5" ht="15.75" hidden="1" customHeight="1" x14ac:dyDescent="0.25">
      <c r="D5" s="220"/>
      <c r="E5" s="220"/>
    </row>
    <row r="6" spans="1:5" ht="15.75" hidden="1" customHeight="1" x14ac:dyDescent="0.25">
      <c r="D6" s="220"/>
      <c r="E6" s="220"/>
    </row>
    <row r="7" spans="1:5" ht="15.75" hidden="1" customHeight="1" x14ac:dyDescent="0.25">
      <c r="D7" s="220"/>
      <c r="E7" s="220"/>
    </row>
    <row r="8" spans="1:5" ht="15.75" hidden="1" customHeight="1" x14ac:dyDescent="0.25">
      <c r="D8" s="181"/>
      <c r="E8" s="181"/>
    </row>
    <row r="9" spans="1:5" ht="15.75" customHeight="1" x14ac:dyDescent="0.25">
      <c r="A9" s="292" t="s">
        <v>472</v>
      </c>
      <c r="B9" s="292"/>
      <c r="C9" s="292"/>
      <c r="D9" s="292"/>
    </row>
    <row r="10" spans="1:5" ht="15.75" customHeight="1" x14ac:dyDescent="0.25">
      <c r="A10" s="292" t="s">
        <v>444</v>
      </c>
      <c r="B10" s="292"/>
      <c r="C10" s="292"/>
      <c r="D10" s="292"/>
    </row>
    <row r="11" spans="1:5" ht="15.75" customHeight="1" x14ac:dyDescent="0.25">
      <c r="C11" s="10"/>
      <c r="D11" s="152" t="s">
        <v>271</v>
      </c>
    </row>
    <row r="12" spans="1:5" ht="24.75" customHeight="1" x14ac:dyDescent="0.25">
      <c r="A12" s="252" t="s">
        <v>232</v>
      </c>
      <c r="B12" s="245" t="s">
        <v>249</v>
      </c>
      <c r="C12" s="245" t="s">
        <v>96</v>
      </c>
      <c r="D12" s="254" t="s">
        <v>74</v>
      </c>
    </row>
    <row r="13" spans="1:5" ht="22.5" customHeight="1" x14ac:dyDescent="0.25">
      <c r="A13" s="289"/>
      <c r="B13" s="290"/>
      <c r="C13" s="290"/>
      <c r="D13" s="291"/>
    </row>
    <row r="14" spans="1:5" ht="24" customHeight="1" x14ac:dyDescent="0.25">
      <c r="A14" s="29" t="s">
        <v>78</v>
      </c>
      <c r="B14" s="247" t="s">
        <v>326</v>
      </c>
      <c r="C14" s="248"/>
      <c r="D14" s="248"/>
    </row>
    <row r="15" spans="1:5" ht="39.75" customHeight="1" x14ac:dyDescent="0.25">
      <c r="A15" s="23" t="s">
        <v>69</v>
      </c>
      <c r="B15" s="160" t="s">
        <v>445</v>
      </c>
      <c r="C15" s="95" t="s">
        <v>113</v>
      </c>
      <c r="D15" s="40">
        <v>338.6</v>
      </c>
    </row>
    <row r="16" spans="1:5" ht="24.75" customHeight="1" x14ac:dyDescent="0.25">
      <c r="A16" s="61"/>
      <c r="B16" s="55" t="s">
        <v>76</v>
      </c>
      <c r="C16" s="42"/>
      <c r="D16" s="42">
        <f>D15</f>
        <v>338.6</v>
      </c>
    </row>
    <row r="17" spans="1:4" ht="24" customHeight="1" x14ac:dyDescent="0.25">
      <c r="A17" s="29" t="s">
        <v>79</v>
      </c>
      <c r="B17" s="286" t="s">
        <v>314</v>
      </c>
      <c r="C17" s="287"/>
      <c r="D17" s="288"/>
    </row>
    <row r="18" spans="1:4" ht="41.25" customHeight="1" x14ac:dyDescent="0.25">
      <c r="A18" s="23" t="s">
        <v>446</v>
      </c>
      <c r="B18" s="160" t="s">
        <v>447</v>
      </c>
      <c r="C18" s="95" t="s">
        <v>113</v>
      </c>
      <c r="D18" s="40">
        <v>215.9</v>
      </c>
    </row>
    <row r="19" spans="1:4" ht="24" customHeight="1" x14ac:dyDescent="0.25">
      <c r="A19" s="61"/>
      <c r="B19" s="55" t="s">
        <v>76</v>
      </c>
      <c r="C19" s="42"/>
      <c r="D19" s="42">
        <f>D18</f>
        <v>215.9</v>
      </c>
    </row>
    <row r="20" spans="1:4" ht="24" customHeight="1" x14ac:dyDescent="0.25">
      <c r="A20" s="29" t="s">
        <v>80</v>
      </c>
      <c r="B20" s="286" t="s">
        <v>324</v>
      </c>
      <c r="C20" s="287"/>
      <c r="D20" s="288"/>
    </row>
    <row r="21" spans="1:4" ht="41.25" customHeight="1" x14ac:dyDescent="0.25">
      <c r="A21" s="23" t="s">
        <v>448</v>
      </c>
      <c r="B21" s="160" t="s">
        <v>449</v>
      </c>
      <c r="C21" s="95" t="s">
        <v>113</v>
      </c>
      <c r="D21" s="40">
        <v>172.88499999999999</v>
      </c>
    </row>
    <row r="22" spans="1:4" ht="24" customHeight="1" x14ac:dyDescent="0.25">
      <c r="A22" s="61"/>
      <c r="B22" s="55" t="s">
        <v>76</v>
      </c>
      <c r="C22" s="42"/>
      <c r="D22" s="42">
        <f>D21</f>
        <v>172.88499999999999</v>
      </c>
    </row>
    <row r="23" spans="1:4" ht="24" customHeight="1" x14ac:dyDescent="0.25">
      <c r="A23" s="29" t="s">
        <v>389</v>
      </c>
      <c r="B23" s="286" t="s">
        <v>323</v>
      </c>
      <c r="C23" s="287"/>
      <c r="D23" s="288"/>
    </row>
    <row r="24" spans="1:4" ht="64.5" customHeight="1" x14ac:dyDescent="0.25">
      <c r="A24" s="23" t="s">
        <v>45</v>
      </c>
      <c r="B24" s="160" t="s">
        <v>483</v>
      </c>
      <c r="C24" s="95" t="s">
        <v>113</v>
      </c>
      <c r="D24" s="40">
        <v>870.8</v>
      </c>
    </row>
    <row r="25" spans="1:4" ht="48" customHeight="1" x14ac:dyDescent="0.25">
      <c r="A25" s="23" t="s">
        <v>46</v>
      </c>
      <c r="B25" s="160" t="s">
        <v>450</v>
      </c>
      <c r="C25" s="95" t="s">
        <v>113</v>
      </c>
      <c r="D25" s="40">
        <v>143.679</v>
      </c>
    </row>
    <row r="26" spans="1:4" ht="41.25" customHeight="1" x14ac:dyDescent="0.25">
      <c r="A26" s="23" t="s">
        <v>47</v>
      </c>
      <c r="B26" s="160" t="s">
        <v>451</v>
      </c>
      <c r="C26" s="95" t="s">
        <v>113</v>
      </c>
      <c r="D26" s="40">
        <v>370.702</v>
      </c>
    </row>
    <row r="27" spans="1:4" ht="48" customHeight="1" x14ac:dyDescent="0.25">
      <c r="A27" s="23" t="s">
        <v>48</v>
      </c>
      <c r="B27" s="160" t="s">
        <v>471</v>
      </c>
      <c r="C27" s="95" t="s">
        <v>113</v>
      </c>
      <c r="D27" s="40">
        <v>7217.4</v>
      </c>
    </row>
    <row r="28" spans="1:4" ht="24" customHeight="1" x14ac:dyDescent="0.25">
      <c r="A28" s="61"/>
      <c r="B28" s="55" t="s">
        <v>76</v>
      </c>
      <c r="C28" s="42"/>
      <c r="D28" s="42">
        <f>SUM(D24:D27)</f>
        <v>8602.5810000000001</v>
      </c>
    </row>
    <row r="29" spans="1:4" ht="24" customHeight="1" x14ac:dyDescent="0.25">
      <c r="A29" s="61"/>
      <c r="B29" s="55" t="s">
        <v>452</v>
      </c>
      <c r="C29" s="42"/>
      <c r="D29" s="42">
        <f>D16+D19+D22+D28</f>
        <v>9329.9660000000003</v>
      </c>
    </row>
    <row r="30" spans="1:4" ht="15.75" customHeight="1" x14ac:dyDescent="0.25">
      <c r="A30" s="113"/>
      <c r="B30" s="113"/>
      <c r="C30" s="113"/>
      <c r="D30" s="122"/>
    </row>
    <row r="31" spans="1:4" ht="15.75" customHeight="1" x14ac:dyDescent="0.25"/>
    <row r="32" spans="1:4" ht="15.75" customHeight="1" x14ac:dyDescent="0.25"/>
    <row r="33" s="1" customFormat="1" ht="15.75" customHeight="1" x14ac:dyDescent="0.25"/>
  </sheetData>
  <mergeCells count="13">
    <mergeCell ref="B14:D14"/>
    <mergeCell ref="B17:D17"/>
    <mergeCell ref="B20:D20"/>
    <mergeCell ref="B23:D23"/>
    <mergeCell ref="D2:E2"/>
    <mergeCell ref="D3:E3"/>
    <mergeCell ref="D5:E7"/>
    <mergeCell ref="A9:D9"/>
    <mergeCell ref="A10:D10"/>
    <mergeCell ref="A12:A13"/>
    <mergeCell ref="B12:B13"/>
    <mergeCell ref="C12:C13"/>
    <mergeCell ref="D12:D13"/>
  </mergeCells>
  <phoneticPr fontId="9" type="noConversion"/>
  <pageMargins left="0.74803149606299213" right="0.74803149606299213" top="0.98425196850393704" bottom="0.98425196850393704" header="0.51181102362204722" footer="0.51181102362204722"/>
  <pageSetup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0"/>
  <sheetViews>
    <sheetView workbookViewId="0">
      <selection activeCell="D17" sqref="D17"/>
    </sheetView>
  </sheetViews>
  <sheetFormatPr defaultColWidth="9.140625" defaultRowHeight="15.75" x14ac:dyDescent="0.25"/>
  <cols>
    <col min="1" max="1" width="6.7109375" style="1" customWidth="1"/>
    <col min="2" max="2" width="46.85546875" style="1" customWidth="1"/>
    <col min="3" max="3" width="35.7109375" style="1" customWidth="1"/>
    <col min="4" max="4" width="26.7109375" style="1" customWidth="1"/>
    <col min="5" max="16384" width="9.140625" style="1"/>
  </cols>
  <sheetData>
    <row r="1" spans="1:5" ht="15.75" customHeight="1" x14ac:dyDescent="0.25">
      <c r="D1" s="2" t="s">
        <v>77</v>
      </c>
    </row>
    <row r="2" spans="1:5" ht="15.75" customHeight="1" x14ac:dyDescent="0.25">
      <c r="D2" s="220" t="s">
        <v>430</v>
      </c>
      <c r="E2" s="220"/>
    </row>
    <row r="3" spans="1:5" ht="15.75" customHeight="1" x14ac:dyDescent="0.25">
      <c r="D3" s="220"/>
      <c r="E3" s="220"/>
    </row>
    <row r="4" spans="1:5" ht="15.75" customHeight="1" x14ac:dyDescent="0.25">
      <c r="D4" s="220"/>
      <c r="E4" s="220"/>
    </row>
    <row r="5" spans="1:5" ht="15.75" hidden="1" customHeight="1" x14ac:dyDescent="0.25">
      <c r="D5" s="220"/>
      <c r="E5" s="220"/>
    </row>
    <row r="6" spans="1:5" ht="15.75" hidden="1" customHeight="1" x14ac:dyDescent="0.25">
      <c r="D6" s="220"/>
      <c r="E6" s="220"/>
    </row>
    <row r="7" spans="1:5" ht="15.75" hidden="1" customHeight="1" x14ac:dyDescent="0.25">
      <c r="D7" s="220"/>
      <c r="E7" s="220"/>
    </row>
    <row r="8" spans="1:5" ht="47.25" customHeight="1" x14ac:dyDescent="0.25">
      <c r="A8" s="317" t="s">
        <v>431</v>
      </c>
      <c r="B8" s="317"/>
      <c r="C8" s="317"/>
      <c r="D8" s="317"/>
    </row>
    <row r="9" spans="1:5" ht="15.75" customHeight="1" x14ac:dyDescent="0.25">
      <c r="A9" s="20"/>
      <c r="B9" s="20"/>
      <c r="C9" s="20"/>
      <c r="D9" s="20"/>
    </row>
    <row r="10" spans="1:5" ht="15.75" customHeight="1" x14ac:dyDescent="0.25">
      <c r="C10" s="10"/>
      <c r="D10" s="152" t="s">
        <v>271</v>
      </c>
    </row>
    <row r="11" spans="1:5" ht="31.5" customHeight="1" x14ac:dyDescent="0.25">
      <c r="A11" s="252" t="s">
        <v>232</v>
      </c>
      <c r="B11" s="245" t="s">
        <v>249</v>
      </c>
      <c r="C11" s="245" t="s">
        <v>96</v>
      </c>
      <c r="D11" s="254" t="s">
        <v>74</v>
      </c>
    </row>
    <row r="12" spans="1:5" ht="15.75" customHeight="1" x14ac:dyDescent="0.25">
      <c r="A12" s="253"/>
      <c r="B12" s="246"/>
      <c r="C12" s="246"/>
      <c r="D12" s="255"/>
    </row>
    <row r="13" spans="1:5" ht="24" customHeight="1" x14ac:dyDescent="0.25">
      <c r="A13" s="29" t="s">
        <v>78</v>
      </c>
      <c r="B13" s="296" t="s">
        <v>324</v>
      </c>
      <c r="C13" s="296"/>
      <c r="D13" s="296"/>
    </row>
    <row r="14" spans="1:5" ht="53.25" customHeight="1" x14ac:dyDescent="0.25">
      <c r="A14" s="23" t="s">
        <v>69</v>
      </c>
      <c r="B14" s="98" t="s">
        <v>179</v>
      </c>
      <c r="C14" s="151" t="s">
        <v>113</v>
      </c>
      <c r="D14" s="41"/>
    </row>
    <row r="15" spans="1:5" ht="24" customHeight="1" x14ac:dyDescent="0.25">
      <c r="A15" s="61"/>
      <c r="B15" s="55" t="s">
        <v>76</v>
      </c>
      <c r="C15" s="42"/>
      <c r="D15" s="42">
        <f>SUM(D14:D14)</f>
        <v>0</v>
      </c>
    </row>
    <row r="16" spans="1:5" ht="24" customHeight="1" x14ac:dyDescent="0.25">
      <c r="A16" s="29" t="s">
        <v>79</v>
      </c>
      <c r="B16" s="247" t="s">
        <v>323</v>
      </c>
      <c r="C16" s="248"/>
      <c r="D16" s="248"/>
    </row>
    <row r="17" spans="1:4" ht="47.25" customHeight="1" x14ac:dyDescent="0.25">
      <c r="A17" s="23" t="s">
        <v>25</v>
      </c>
      <c r="B17" s="168" t="s">
        <v>267</v>
      </c>
      <c r="C17" s="16" t="s">
        <v>113</v>
      </c>
      <c r="D17" s="41"/>
    </row>
    <row r="18" spans="1:4" ht="20.25" customHeight="1" x14ac:dyDescent="0.25">
      <c r="A18" s="24"/>
      <c r="B18" s="35" t="s">
        <v>76</v>
      </c>
      <c r="C18" s="34"/>
      <c r="D18" s="42">
        <f>SUM(D17:D17)</f>
        <v>0</v>
      </c>
    </row>
    <row r="19" spans="1:4" ht="20.25" customHeight="1" x14ac:dyDescent="0.25">
      <c r="A19" s="241" t="s">
        <v>133</v>
      </c>
      <c r="B19" s="227"/>
      <c r="C19" s="49"/>
      <c r="D19" s="125">
        <f>D15+D18</f>
        <v>0</v>
      </c>
    </row>
    <row r="20" spans="1:4" ht="15.75" customHeight="1" x14ac:dyDescent="0.25">
      <c r="A20" s="113"/>
      <c r="B20" s="113"/>
      <c r="C20" s="113"/>
      <c r="D20" s="122"/>
    </row>
  </sheetData>
  <mergeCells count="10">
    <mergeCell ref="D2:E4"/>
    <mergeCell ref="D5:E7"/>
    <mergeCell ref="A19:B19"/>
    <mergeCell ref="A8:D8"/>
    <mergeCell ref="A11:A12"/>
    <mergeCell ref="B11:B12"/>
    <mergeCell ref="C11:C12"/>
    <mergeCell ref="D11:D12"/>
    <mergeCell ref="B13:D13"/>
    <mergeCell ref="B16:D16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26"/>
  <sheetViews>
    <sheetView topLeftCell="A3" workbookViewId="0">
      <selection activeCell="A5" sqref="A5:F24"/>
    </sheetView>
  </sheetViews>
  <sheetFormatPr defaultRowHeight="12.75" x14ac:dyDescent="0.2"/>
  <cols>
    <col min="1" max="1" width="6.28515625" customWidth="1"/>
    <col min="2" max="2" width="42.5703125" customWidth="1"/>
    <col min="3" max="4" width="11.28515625" customWidth="1"/>
    <col min="5" max="5" width="12" customWidth="1"/>
    <col min="6" max="6" width="11.28515625" customWidth="1"/>
  </cols>
  <sheetData>
    <row r="1" spans="1:6" ht="15.75" x14ac:dyDescent="0.25">
      <c r="A1" s="1"/>
      <c r="B1" s="1"/>
      <c r="C1" s="251" t="s">
        <v>236</v>
      </c>
      <c r="D1" s="251"/>
      <c r="E1" s="251"/>
      <c r="F1" s="251"/>
    </row>
    <row r="2" spans="1:6" ht="15.75" x14ac:dyDescent="0.25">
      <c r="A2" s="1"/>
      <c r="B2" s="1"/>
      <c r="C2" s="326" t="s">
        <v>132</v>
      </c>
      <c r="D2" s="326"/>
      <c r="E2" s="326"/>
      <c r="F2" s="326"/>
    </row>
    <row r="3" spans="1:6" ht="15.75" x14ac:dyDescent="0.25">
      <c r="A3" s="1"/>
      <c r="B3" s="1"/>
      <c r="C3" s="326" t="s">
        <v>235</v>
      </c>
      <c r="D3" s="326"/>
      <c r="E3" s="326"/>
      <c r="F3" s="326"/>
    </row>
    <row r="4" spans="1:6" ht="15.75" x14ac:dyDescent="0.25">
      <c r="A4" s="1"/>
      <c r="B4" s="8"/>
      <c r="C4" s="14"/>
      <c r="D4" s="69"/>
      <c r="E4" s="1"/>
      <c r="F4" s="1"/>
    </row>
    <row r="5" spans="1:6" ht="15.75" x14ac:dyDescent="0.25">
      <c r="A5" s="256" t="s">
        <v>240</v>
      </c>
      <c r="B5" s="256"/>
      <c r="C5" s="256"/>
      <c r="D5" s="256"/>
      <c r="E5" s="256"/>
      <c r="F5" s="256"/>
    </row>
    <row r="6" spans="1:6" ht="15.75" x14ac:dyDescent="0.25">
      <c r="A6" s="221" t="s">
        <v>241</v>
      </c>
      <c r="B6" s="221"/>
      <c r="C6" s="221"/>
      <c r="D6" s="221"/>
      <c r="E6" s="221"/>
      <c r="F6" s="221"/>
    </row>
    <row r="7" spans="1:6" ht="15.75" x14ac:dyDescent="0.25">
      <c r="A7" s="1"/>
      <c r="B7" s="12"/>
      <c r="C7" s="12"/>
      <c r="D7" s="69"/>
      <c r="E7" s="1"/>
      <c r="F7" s="47" t="s">
        <v>63</v>
      </c>
    </row>
    <row r="8" spans="1:6" ht="15.75" x14ac:dyDescent="0.25">
      <c r="A8" s="228" t="s">
        <v>231</v>
      </c>
      <c r="B8" s="243" t="s">
        <v>238</v>
      </c>
      <c r="C8" s="254" t="s">
        <v>74</v>
      </c>
      <c r="D8" s="323" t="s">
        <v>128</v>
      </c>
      <c r="E8" s="324"/>
      <c r="F8" s="325"/>
    </row>
    <row r="9" spans="1:6" ht="15.75" x14ac:dyDescent="0.2">
      <c r="A9" s="229"/>
      <c r="B9" s="244"/>
      <c r="C9" s="255"/>
      <c r="D9" s="318" t="s">
        <v>129</v>
      </c>
      <c r="E9" s="319"/>
      <c r="F9" s="228" t="s">
        <v>130</v>
      </c>
    </row>
    <row r="10" spans="1:6" ht="40.5" customHeight="1" x14ac:dyDescent="0.2">
      <c r="A10" s="230"/>
      <c r="B10" s="322"/>
      <c r="C10" s="291"/>
      <c r="D10" s="16" t="s">
        <v>111</v>
      </c>
      <c r="E10" s="17" t="s">
        <v>131</v>
      </c>
      <c r="F10" s="230"/>
    </row>
    <row r="11" spans="1:6" ht="42.75" customHeight="1" x14ac:dyDescent="0.25">
      <c r="A11" s="21" t="s">
        <v>78</v>
      </c>
      <c r="B11" s="128" t="str">
        <f>ASIGNAVIMAI!B12</f>
        <v>Savivaldybės valdymo programa</v>
      </c>
      <c r="C11" s="41">
        <f>ASIGNAVIMAI!C22</f>
        <v>321.78899999999999</v>
      </c>
      <c r="D11" s="40" t="e">
        <f>ASIGNAVIMAI!#REF!</f>
        <v>#REF!</v>
      </c>
      <c r="E11" s="40" t="e">
        <f>ASIGNAVIMAI!#REF!</f>
        <v>#REF!</v>
      </c>
      <c r="F11" s="40" t="e">
        <f>ASIGNAVIMAI!#REF!</f>
        <v>#REF!</v>
      </c>
    </row>
    <row r="12" spans="1:6" ht="15.75" x14ac:dyDescent="0.25">
      <c r="A12" s="21" t="s">
        <v>79</v>
      </c>
      <c r="B12" s="129" t="str">
        <f>ASIGNAVIMAI!B23</f>
        <v>Kaišiadorių r. Pravieniškių lopšelio-darželio „Ąžuoliukas“ direktorius</v>
      </c>
      <c r="C12" s="41">
        <f>ASIGNAVIMAI!C51</f>
        <v>15.962</v>
      </c>
      <c r="D12" s="40" t="e">
        <f>ASIGNAVIMAI!#REF!</f>
        <v>#REF!</v>
      </c>
      <c r="E12" s="40" t="e">
        <f>ASIGNAVIMAI!#REF!</f>
        <v>#REF!</v>
      </c>
      <c r="F12" s="40" t="e">
        <f>ASIGNAVIMAI!#REF!</f>
        <v>#REF!</v>
      </c>
    </row>
    <row r="13" spans="1:6" ht="15.75" x14ac:dyDescent="0.25">
      <c r="A13" s="21" t="s">
        <v>80</v>
      </c>
      <c r="B13" s="21" t="str">
        <f>ASIGNAVIMAI!B52</f>
        <v>Palomenės seniūnas</v>
      </c>
      <c r="C13" s="41">
        <f>ASIGNAVIMAI!C63</f>
        <v>979.34</v>
      </c>
      <c r="D13" s="40" t="e">
        <f>ASIGNAVIMAI!#REF!</f>
        <v>#REF!</v>
      </c>
      <c r="E13" s="40" t="e">
        <f>ASIGNAVIMAI!#REF!</f>
        <v>#REF!</v>
      </c>
      <c r="F13" s="40" t="e">
        <f>ASIGNAVIMAI!#REF!</f>
        <v>#REF!</v>
      </c>
    </row>
    <row r="14" spans="1:6" ht="15.75" x14ac:dyDescent="0.25">
      <c r="A14" s="21" t="s">
        <v>81</v>
      </c>
      <c r="B14" s="129" t="str">
        <f>ASIGNAVIMAI!B64</f>
        <v>Kaišiadorių r. Rumšiškių  lopšelio-darželio direktorius</v>
      </c>
      <c r="C14" s="41">
        <f>ASIGNAVIMAI!C81</f>
        <v>172.83699999999999</v>
      </c>
      <c r="D14" s="40" t="e">
        <f>ASIGNAVIMAI!#REF!</f>
        <v>#REF!</v>
      </c>
      <c r="E14" s="40" t="e">
        <f>ASIGNAVIMAI!#REF!</f>
        <v>#REF!</v>
      </c>
      <c r="F14" s="40"/>
    </row>
    <row r="15" spans="1:6" ht="15.75" x14ac:dyDescent="0.25">
      <c r="A15" s="21" t="s">
        <v>82</v>
      </c>
      <c r="B15" s="21" t="str">
        <f>ASIGNAVIMAI!B82</f>
        <v>Kaišiadorių kultūros centro direktorius</v>
      </c>
      <c r="C15" s="41">
        <f>ASIGNAVIMAI!C85</f>
        <v>188.24600000000001</v>
      </c>
      <c r="D15" s="40" t="e">
        <f>ASIGNAVIMAI!#REF!</f>
        <v>#REF!</v>
      </c>
      <c r="E15" s="40" t="e">
        <f>ASIGNAVIMAI!#REF!</f>
        <v>#REF!</v>
      </c>
      <c r="F15" s="40"/>
    </row>
    <row r="16" spans="1:6" ht="15.75" x14ac:dyDescent="0.25">
      <c r="A16" s="21" t="s">
        <v>83</v>
      </c>
      <c r="B16" s="21" t="str">
        <f>ASIGNAVIMAI!B86</f>
        <v>Žaslių kultūros centro direktorius</v>
      </c>
      <c r="C16" s="41">
        <f>ASIGNAVIMAI!C88</f>
        <v>29300.791999999998</v>
      </c>
      <c r="D16" s="40" t="e">
        <f>ASIGNAVIMAI!#REF!</f>
        <v>#REF!</v>
      </c>
      <c r="E16" s="40" t="e">
        <f>ASIGNAVIMAI!#REF!</f>
        <v>#REF!</v>
      </c>
      <c r="F16" s="40"/>
    </row>
    <row r="17" spans="1:6" ht="15.75" x14ac:dyDescent="0.25">
      <c r="A17" s="21" t="s">
        <v>84</v>
      </c>
      <c r="B17" s="21" t="str">
        <f>ASIGNAVIMAI!B89</f>
        <v>Sveikatos ir socialinės apsaugos programa</v>
      </c>
      <c r="C17" s="41">
        <f>ASIGNAVIMAI!C91</f>
        <v>4008.0950000000003</v>
      </c>
      <c r="D17" s="40" t="e">
        <f>ASIGNAVIMAI!#REF!</f>
        <v>#REF!</v>
      </c>
      <c r="E17" s="40"/>
      <c r="F17" s="40" t="e">
        <f>ASIGNAVIMAI!#REF!</f>
        <v>#REF!</v>
      </c>
    </row>
    <row r="18" spans="1:6" ht="15.75" x14ac:dyDescent="0.25">
      <c r="A18" s="21" t="s">
        <v>85</v>
      </c>
      <c r="B18" s="21" t="str">
        <f>ASIGNAVIMAI!B97</f>
        <v>Kaišiadorių r. Žiežmarių mokyklos-darželio „Vaikystės dvaras“ direktorius</v>
      </c>
      <c r="C18" s="41">
        <f>ASIGNAVIMAI!C99</f>
        <v>77.558999999999997</v>
      </c>
      <c r="D18" s="40" t="e">
        <f>ASIGNAVIMAI!#REF!</f>
        <v>#REF!</v>
      </c>
      <c r="E18" s="40" t="e">
        <f>ASIGNAVIMAI!#REF!</f>
        <v>#REF!</v>
      </c>
      <c r="F18" s="40"/>
    </row>
    <row r="19" spans="1:6" ht="15.75" x14ac:dyDescent="0.25">
      <c r="A19" s="21" t="s">
        <v>86</v>
      </c>
      <c r="B19" s="21" t="str">
        <f>ASIGNAVIMAI!B100</f>
        <v>Kaišiadorių r. Rumšiškių Antano Baranausko gimnazijos direktorius</v>
      </c>
      <c r="C19" s="41">
        <f>ASIGNAVIMAI!C104</f>
        <v>42.622</v>
      </c>
      <c r="D19" s="40" t="e">
        <f>ASIGNAVIMAI!#REF!</f>
        <v>#REF!</v>
      </c>
      <c r="E19" s="40" t="e">
        <f>ASIGNAVIMAI!#REF!</f>
        <v>#REF!</v>
      </c>
      <c r="F19" s="40"/>
    </row>
    <row r="20" spans="1:6" ht="31.5" x14ac:dyDescent="0.25">
      <c r="A20" s="21" t="s">
        <v>87</v>
      </c>
      <c r="B20" s="98" t="str">
        <f>ASIGNAVIMAI!B105</f>
        <v>Kaišiadorių šventosios Faustinos ugdymo centro direktorius</v>
      </c>
      <c r="C20" s="41">
        <f>ASIGNAVIMAI!C108</f>
        <v>41.800000000000004</v>
      </c>
      <c r="D20" s="40" t="e">
        <f>ASIGNAVIMAI!#REF!</f>
        <v>#REF!</v>
      </c>
      <c r="E20" s="40"/>
      <c r="F20" s="40" t="e">
        <f>ASIGNAVIMAI!#REF!</f>
        <v>#REF!</v>
      </c>
    </row>
    <row r="21" spans="1:6" ht="15.75" x14ac:dyDescent="0.25">
      <c r="A21" s="21" t="s">
        <v>88</v>
      </c>
      <c r="B21" s="21" t="str">
        <f>ASIGNAVIMAI!B109</f>
        <v>Rumšiškių kultūros centro direktorius</v>
      </c>
      <c r="C21" s="41">
        <f>ASIGNAVIMAI!C113</f>
        <v>1.8159999999999998</v>
      </c>
      <c r="D21" s="40" t="e">
        <f>ASIGNAVIMAI!#REF!</f>
        <v>#REF!</v>
      </c>
      <c r="E21" s="40"/>
      <c r="F21" s="40" t="e">
        <f>ASIGNAVIMAI!#REF!</f>
        <v>#REF!</v>
      </c>
    </row>
    <row r="22" spans="1:6" ht="15.75" x14ac:dyDescent="0.25">
      <c r="A22" s="21" t="s">
        <v>89</v>
      </c>
      <c r="B22" s="21" t="str">
        <f>ASIGNAVIMAI!B114</f>
        <v>Pravieniškių seniūnas</v>
      </c>
      <c r="C22" s="41">
        <f>ASIGNAVIMAI!C124</f>
        <v>38.07</v>
      </c>
      <c r="D22" s="40" t="e">
        <f>ASIGNAVIMAI!#REF!</f>
        <v>#REF!</v>
      </c>
      <c r="E22" s="40"/>
      <c r="F22" s="40" t="e">
        <f>ASIGNAVIMAI!#REF!</f>
        <v>#REF!</v>
      </c>
    </row>
    <row r="23" spans="1:6" ht="15.75" x14ac:dyDescent="0.25">
      <c r="A23" s="21" t="s">
        <v>147</v>
      </c>
      <c r="B23" s="23" t="str">
        <f>ASIGNAVIMAI!B125</f>
        <v>Palomenės seniūnas</v>
      </c>
      <c r="C23" s="41">
        <f>ASIGNAVIMAI!C138</f>
        <v>196.916</v>
      </c>
      <c r="D23" s="40" t="e">
        <f>ASIGNAVIMAI!#REF!</f>
        <v>#REF!</v>
      </c>
      <c r="E23" s="40"/>
      <c r="F23" s="40" t="e">
        <f>ASIGNAVIMAI!#REF!</f>
        <v>#REF!</v>
      </c>
    </row>
    <row r="24" spans="1:6" ht="24.75" customHeight="1" x14ac:dyDescent="0.25">
      <c r="A24" s="320" t="s">
        <v>133</v>
      </c>
      <c r="B24" s="321"/>
      <c r="C24" s="100">
        <f>SUM(C11:C23)</f>
        <v>35385.843999999997</v>
      </c>
      <c r="D24" s="100" t="e">
        <f t="shared" ref="D24:F24" si="0">SUM(D11:D23)</f>
        <v>#REF!</v>
      </c>
      <c r="E24" s="100" t="e">
        <f t="shared" si="0"/>
        <v>#REF!</v>
      </c>
      <c r="F24" s="100" t="e">
        <f t="shared" si="0"/>
        <v>#REF!</v>
      </c>
    </row>
    <row r="26" spans="1:6" x14ac:dyDescent="0.2">
      <c r="A26" s="115"/>
      <c r="B26" s="115"/>
      <c r="C26" s="115"/>
      <c r="D26" s="115"/>
      <c r="E26" s="115"/>
      <c r="F26" s="115"/>
    </row>
  </sheetData>
  <mergeCells count="12">
    <mergeCell ref="C1:F1"/>
    <mergeCell ref="C2:F2"/>
    <mergeCell ref="C3:F3"/>
    <mergeCell ref="A5:F5"/>
    <mergeCell ref="A6:F6"/>
    <mergeCell ref="D9:E9"/>
    <mergeCell ref="F9:F10"/>
    <mergeCell ref="A24:B24"/>
    <mergeCell ref="A8:A10"/>
    <mergeCell ref="B8:B10"/>
    <mergeCell ref="C8:C10"/>
    <mergeCell ref="D8:F8"/>
  </mergeCells>
  <pageMargins left="0.51181102362204722" right="0.31496062992125984" top="0.55118110236220474" bottom="0.55118110236220474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24"/>
  <sheetViews>
    <sheetView topLeftCell="A10" workbookViewId="0">
      <selection sqref="A1:XFD1048576"/>
    </sheetView>
  </sheetViews>
  <sheetFormatPr defaultRowHeight="12.75" x14ac:dyDescent="0.2"/>
  <cols>
    <col min="1" max="1" width="6.85546875" customWidth="1"/>
    <col min="2" max="2" width="44" customWidth="1"/>
    <col min="3" max="3" width="11.85546875" customWidth="1"/>
    <col min="4" max="4" width="11.140625" customWidth="1"/>
    <col min="5" max="5" width="13.7109375" customWidth="1"/>
    <col min="6" max="6" width="10.85546875" customWidth="1"/>
  </cols>
  <sheetData>
    <row r="1" spans="1:6" ht="15.75" x14ac:dyDescent="0.25">
      <c r="A1" s="1"/>
      <c r="B1" s="1"/>
      <c r="C1" s="251" t="s">
        <v>236</v>
      </c>
      <c r="D1" s="251"/>
      <c r="E1" s="251"/>
      <c r="F1" s="251"/>
    </row>
    <row r="2" spans="1:6" ht="15.75" x14ac:dyDescent="0.25">
      <c r="A2" s="1"/>
      <c r="B2" s="1"/>
      <c r="C2" s="326" t="s">
        <v>132</v>
      </c>
      <c r="D2" s="326"/>
      <c r="E2" s="326"/>
      <c r="F2" s="326"/>
    </row>
    <row r="3" spans="1:6" ht="15.75" x14ac:dyDescent="0.25">
      <c r="A3" s="1"/>
      <c r="B3" s="1"/>
      <c r="C3" s="326" t="s">
        <v>235</v>
      </c>
      <c r="D3" s="326"/>
      <c r="E3" s="326"/>
      <c r="F3" s="326"/>
    </row>
    <row r="4" spans="1:6" ht="15.75" x14ac:dyDescent="0.25">
      <c r="A4" s="1"/>
      <c r="B4" s="8"/>
      <c r="C4" s="14"/>
      <c r="D4" s="69"/>
      <c r="E4" s="1"/>
      <c r="F4" s="1"/>
    </row>
    <row r="5" spans="1:6" ht="15.75" x14ac:dyDescent="0.25">
      <c r="A5" s="256" t="s">
        <v>233</v>
      </c>
      <c r="B5" s="256"/>
      <c r="C5" s="256"/>
      <c r="D5" s="256"/>
      <c r="E5" s="256"/>
      <c r="F5" s="256"/>
    </row>
    <row r="6" spans="1:6" ht="15.75" x14ac:dyDescent="0.25">
      <c r="A6" s="221" t="s">
        <v>237</v>
      </c>
      <c r="B6" s="221"/>
      <c r="C6" s="221"/>
      <c r="D6" s="221"/>
      <c r="E6" s="221"/>
      <c r="F6" s="221"/>
    </row>
    <row r="7" spans="1:6" ht="15.75" x14ac:dyDescent="0.25">
      <c r="A7" s="1"/>
      <c r="B7" s="12"/>
      <c r="C7" s="12"/>
      <c r="D7" s="69"/>
      <c r="E7" s="1"/>
      <c r="F7" s="47" t="s">
        <v>63</v>
      </c>
    </row>
    <row r="8" spans="1:6" ht="15.75" x14ac:dyDescent="0.25">
      <c r="A8" s="228" t="s">
        <v>231</v>
      </c>
      <c r="B8" s="243" t="s">
        <v>238</v>
      </c>
      <c r="C8" s="254" t="s">
        <v>74</v>
      </c>
      <c r="D8" s="323" t="s">
        <v>128</v>
      </c>
      <c r="E8" s="324"/>
      <c r="F8" s="325"/>
    </row>
    <row r="9" spans="1:6" ht="15.75" x14ac:dyDescent="0.2">
      <c r="A9" s="229"/>
      <c r="B9" s="244"/>
      <c r="C9" s="255"/>
      <c r="D9" s="318" t="s">
        <v>129</v>
      </c>
      <c r="E9" s="319"/>
      <c r="F9" s="228" t="s">
        <v>130</v>
      </c>
    </row>
    <row r="10" spans="1:6" ht="31.5" x14ac:dyDescent="0.2">
      <c r="A10" s="230"/>
      <c r="B10" s="322"/>
      <c r="C10" s="291"/>
      <c r="D10" s="16" t="s">
        <v>111</v>
      </c>
      <c r="E10" s="17" t="s">
        <v>131</v>
      </c>
      <c r="F10" s="230"/>
    </row>
    <row r="11" spans="1:6" ht="42.75" customHeight="1" x14ac:dyDescent="0.25">
      <c r="A11" s="21" t="s">
        <v>78</v>
      </c>
      <c r="B11" s="128" t="str">
        <f>ASIGNAVIMAI!B12</f>
        <v>Savivaldybės valdymo programa</v>
      </c>
      <c r="C11" s="41">
        <f>ASIGNAVIMAI!C22</f>
        <v>321.78899999999999</v>
      </c>
      <c r="D11" s="40" t="e">
        <f>ASIGNAVIMAI!#REF!</f>
        <v>#REF!</v>
      </c>
      <c r="E11" s="40" t="e">
        <f>ASIGNAVIMAI!#REF!</f>
        <v>#REF!</v>
      </c>
      <c r="F11" s="40" t="e">
        <f>ASIGNAVIMAI!#REF!</f>
        <v>#REF!</v>
      </c>
    </row>
    <row r="12" spans="1:6" ht="15.75" x14ac:dyDescent="0.25">
      <c r="A12" s="21" t="s">
        <v>79</v>
      </c>
      <c r="B12" s="129" t="str">
        <f>ASIGNAVIMAI!B23</f>
        <v>Kaišiadorių r. Pravieniškių lopšelio-darželio „Ąžuoliukas“ direktorius</v>
      </c>
      <c r="C12" s="41">
        <f>ASIGNAVIMAI!C51</f>
        <v>15.962</v>
      </c>
      <c r="D12" s="40" t="e">
        <f>ASIGNAVIMAI!#REF!</f>
        <v>#REF!</v>
      </c>
      <c r="E12" s="40" t="e">
        <f>ASIGNAVIMAI!#REF!</f>
        <v>#REF!</v>
      </c>
      <c r="F12" s="40" t="e">
        <f>ASIGNAVIMAI!#REF!</f>
        <v>#REF!</v>
      </c>
    </row>
    <row r="13" spans="1:6" ht="15.75" x14ac:dyDescent="0.25">
      <c r="A13" s="21" t="s">
        <v>80</v>
      </c>
      <c r="B13" s="21" t="str">
        <f>ASIGNAVIMAI!B52</f>
        <v>Palomenės seniūnas</v>
      </c>
      <c r="C13" s="41">
        <f>ASIGNAVIMAI!C63</f>
        <v>979.34</v>
      </c>
      <c r="D13" s="40" t="e">
        <f>ASIGNAVIMAI!#REF!</f>
        <v>#REF!</v>
      </c>
      <c r="E13" s="40" t="e">
        <f>ASIGNAVIMAI!#REF!</f>
        <v>#REF!</v>
      </c>
      <c r="F13" s="40" t="e">
        <f>ASIGNAVIMAI!#REF!</f>
        <v>#REF!</v>
      </c>
    </row>
    <row r="14" spans="1:6" ht="15.75" x14ac:dyDescent="0.25">
      <c r="A14" s="21" t="s">
        <v>81</v>
      </c>
      <c r="B14" s="129" t="str">
        <f>ASIGNAVIMAI!B64</f>
        <v>Kaišiadorių r. Rumšiškių  lopšelio-darželio direktorius</v>
      </c>
      <c r="C14" s="41">
        <f>ASIGNAVIMAI!C81</f>
        <v>172.83699999999999</v>
      </c>
      <c r="D14" s="40" t="e">
        <f>ASIGNAVIMAI!#REF!</f>
        <v>#REF!</v>
      </c>
      <c r="E14" s="40" t="e">
        <f>ASIGNAVIMAI!#REF!</f>
        <v>#REF!</v>
      </c>
      <c r="F14" s="40"/>
    </row>
    <row r="15" spans="1:6" ht="15.75" x14ac:dyDescent="0.25">
      <c r="A15" s="21" t="s">
        <v>82</v>
      </c>
      <c r="B15" s="21" t="str">
        <f>ASIGNAVIMAI!B82</f>
        <v>Kaišiadorių kultūros centro direktorius</v>
      </c>
      <c r="C15" s="41">
        <f>ASIGNAVIMAI!C85</f>
        <v>188.24600000000001</v>
      </c>
      <c r="D15" s="40" t="e">
        <f>ASIGNAVIMAI!#REF!</f>
        <v>#REF!</v>
      </c>
      <c r="E15" s="40" t="e">
        <f>ASIGNAVIMAI!#REF!</f>
        <v>#REF!</v>
      </c>
      <c r="F15" s="40"/>
    </row>
    <row r="16" spans="1:6" ht="15.75" x14ac:dyDescent="0.25">
      <c r="A16" s="21" t="s">
        <v>83</v>
      </c>
      <c r="B16" s="21" t="str">
        <f>ASIGNAVIMAI!B86</f>
        <v>Žaslių kultūros centro direktorius</v>
      </c>
      <c r="C16" s="41">
        <f>ASIGNAVIMAI!C88</f>
        <v>29300.791999999998</v>
      </c>
      <c r="D16" s="40" t="e">
        <f>ASIGNAVIMAI!#REF!</f>
        <v>#REF!</v>
      </c>
      <c r="E16" s="40" t="e">
        <f>ASIGNAVIMAI!#REF!</f>
        <v>#REF!</v>
      </c>
      <c r="F16" s="40"/>
    </row>
    <row r="17" spans="1:6" ht="15.75" x14ac:dyDescent="0.25">
      <c r="A17" s="21" t="s">
        <v>84</v>
      </c>
      <c r="B17" s="21" t="str">
        <f>ASIGNAVIMAI!B89</f>
        <v>Sveikatos ir socialinės apsaugos programa</v>
      </c>
      <c r="C17" s="41">
        <f>ASIGNAVIMAI!C91</f>
        <v>4008.0950000000003</v>
      </c>
      <c r="D17" s="40" t="e">
        <f>ASIGNAVIMAI!#REF!</f>
        <v>#REF!</v>
      </c>
      <c r="E17" s="40"/>
      <c r="F17" s="40" t="e">
        <f>ASIGNAVIMAI!#REF!</f>
        <v>#REF!</v>
      </c>
    </row>
    <row r="18" spans="1:6" ht="15.75" x14ac:dyDescent="0.25">
      <c r="A18" s="21" t="s">
        <v>85</v>
      </c>
      <c r="B18" s="21" t="str">
        <f>ASIGNAVIMAI!B97</f>
        <v>Kaišiadorių r. Žiežmarių mokyklos-darželio „Vaikystės dvaras“ direktorius</v>
      </c>
      <c r="C18" s="41">
        <f>ASIGNAVIMAI!C99</f>
        <v>77.558999999999997</v>
      </c>
      <c r="D18" s="40" t="e">
        <f>ASIGNAVIMAI!#REF!</f>
        <v>#REF!</v>
      </c>
      <c r="E18" s="40" t="e">
        <f>ASIGNAVIMAI!#REF!</f>
        <v>#REF!</v>
      </c>
      <c r="F18" s="40"/>
    </row>
    <row r="19" spans="1:6" ht="15.75" x14ac:dyDescent="0.25">
      <c r="A19" s="21" t="s">
        <v>86</v>
      </c>
      <c r="B19" s="21" t="str">
        <f>ASIGNAVIMAI!B100</f>
        <v>Kaišiadorių r. Rumšiškių Antano Baranausko gimnazijos direktorius</v>
      </c>
      <c r="C19" s="41">
        <f>ASIGNAVIMAI!C104</f>
        <v>42.622</v>
      </c>
      <c r="D19" s="40" t="e">
        <f>ASIGNAVIMAI!#REF!</f>
        <v>#REF!</v>
      </c>
      <c r="E19" s="40" t="e">
        <f>ASIGNAVIMAI!#REF!</f>
        <v>#REF!</v>
      </c>
      <c r="F19" s="40"/>
    </row>
    <row r="20" spans="1:6" ht="15.75" x14ac:dyDescent="0.25">
      <c r="A20" s="21" t="s">
        <v>87</v>
      </c>
      <c r="B20" s="21" t="str">
        <f>ASIGNAVIMAI!B105</f>
        <v>Kaišiadorių šventosios Faustinos ugdymo centro direktorius</v>
      </c>
      <c r="C20" s="41">
        <f>ASIGNAVIMAI!C108</f>
        <v>41.800000000000004</v>
      </c>
      <c r="D20" s="40" t="e">
        <f>ASIGNAVIMAI!#REF!</f>
        <v>#REF!</v>
      </c>
      <c r="E20" s="40"/>
      <c r="F20" s="40" t="e">
        <f>ASIGNAVIMAI!#REF!</f>
        <v>#REF!</v>
      </c>
    </row>
    <row r="21" spans="1:6" ht="15.75" x14ac:dyDescent="0.25">
      <c r="A21" s="21" t="s">
        <v>88</v>
      </c>
      <c r="B21" s="21" t="str">
        <f>ASIGNAVIMAI!B109</f>
        <v>Rumšiškių kultūros centro direktorius</v>
      </c>
      <c r="C21" s="41">
        <f>ASIGNAVIMAI!C113</f>
        <v>1.8159999999999998</v>
      </c>
      <c r="D21" s="40" t="e">
        <f>ASIGNAVIMAI!#REF!</f>
        <v>#REF!</v>
      </c>
      <c r="E21" s="40"/>
      <c r="F21" s="40" t="e">
        <f>ASIGNAVIMAI!#REF!</f>
        <v>#REF!</v>
      </c>
    </row>
    <row r="22" spans="1:6" ht="15.75" x14ac:dyDescent="0.25">
      <c r="A22" s="21" t="s">
        <v>89</v>
      </c>
      <c r="B22" s="21" t="str">
        <f>ASIGNAVIMAI!B114</f>
        <v>Pravieniškių seniūnas</v>
      </c>
      <c r="C22" s="41">
        <f>ASIGNAVIMAI!C124</f>
        <v>38.07</v>
      </c>
      <c r="D22" s="40" t="e">
        <f>ASIGNAVIMAI!#REF!</f>
        <v>#REF!</v>
      </c>
      <c r="E22" s="40"/>
      <c r="F22" s="40" t="e">
        <f>ASIGNAVIMAI!#REF!</f>
        <v>#REF!</v>
      </c>
    </row>
    <row r="23" spans="1:6" ht="15.75" x14ac:dyDescent="0.25">
      <c r="A23" s="21" t="s">
        <v>147</v>
      </c>
      <c r="B23" s="23" t="str">
        <f>ASIGNAVIMAI!B125</f>
        <v>Palomenės seniūnas</v>
      </c>
      <c r="C23" s="41">
        <f>ASIGNAVIMAI!C138</f>
        <v>196.916</v>
      </c>
      <c r="D23" s="40" t="e">
        <f>ASIGNAVIMAI!#REF!</f>
        <v>#REF!</v>
      </c>
      <c r="E23" s="40"/>
      <c r="F23" s="40" t="e">
        <f>ASIGNAVIMAI!#REF!</f>
        <v>#REF!</v>
      </c>
    </row>
    <row r="24" spans="1:6" ht="24.75" customHeight="1" x14ac:dyDescent="0.25">
      <c r="A24" s="327" t="s">
        <v>133</v>
      </c>
      <c r="B24" s="328"/>
      <c r="C24" s="43">
        <f>SUM(C11:C23)</f>
        <v>35385.843999999997</v>
      </c>
      <c r="D24" s="43" t="e">
        <f t="shared" ref="D24:F24" si="0">SUM(D11:D23)</f>
        <v>#REF!</v>
      </c>
      <c r="E24" s="43" t="e">
        <f t="shared" si="0"/>
        <v>#REF!</v>
      </c>
      <c r="F24" s="43" t="e">
        <f t="shared" si="0"/>
        <v>#REF!</v>
      </c>
    </row>
  </sheetData>
  <mergeCells count="12">
    <mergeCell ref="F9:F10"/>
    <mergeCell ref="A24:B24"/>
    <mergeCell ref="C1:F1"/>
    <mergeCell ref="C2:F2"/>
    <mergeCell ref="C3:F3"/>
    <mergeCell ref="A5:F5"/>
    <mergeCell ref="A6:F6"/>
    <mergeCell ref="A8:A10"/>
    <mergeCell ref="B8:B10"/>
    <mergeCell ref="C8:C10"/>
    <mergeCell ref="D8:F8"/>
    <mergeCell ref="D9:E9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27"/>
  <sheetViews>
    <sheetView topLeftCell="A4" workbookViewId="0">
      <selection activeCell="A5" sqref="A5:F25"/>
    </sheetView>
  </sheetViews>
  <sheetFormatPr defaultRowHeight="12.75" x14ac:dyDescent="0.2"/>
  <cols>
    <col min="1" max="1" width="6.140625" customWidth="1"/>
    <col min="2" max="2" width="40.5703125" customWidth="1"/>
    <col min="3" max="4" width="11.28515625" customWidth="1"/>
    <col min="5" max="5" width="11.7109375" customWidth="1"/>
    <col min="6" max="6" width="11.28515625" customWidth="1"/>
  </cols>
  <sheetData>
    <row r="1" spans="1:6" ht="15.75" x14ac:dyDescent="0.25">
      <c r="A1" s="1"/>
      <c r="B1" s="1"/>
      <c r="C1" s="251" t="s">
        <v>236</v>
      </c>
      <c r="D1" s="251"/>
      <c r="E1" s="251"/>
      <c r="F1" s="251"/>
    </row>
    <row r="2" spans="1:6" ht="15.75" x14ac:dyDescent="0.25">
      <c r="A2" s="1"/>
      <c r="B2" s="1"/>
      <c r="C2" s="326" t="s">
        <v>132</v>
      </c>
      <c r="D2" s="326"/>
      <c r="E2" s="326"/>
      <c r="F2" s="326"/>
    </row>
    <row r="3" spans="1:6" ht="15.75" x14ac:dyDescent="0.25">
      <c r="A3" s="1"/>
      <c r="B3" s="1"/>
      <c r="C3" s="326" t="s">
        <v>235</v>
      </c>
      <c r="D3" s="326"/>
      <c r="E3" s="326"/>
      <c r="F3" s="326"/>
    </row>
    <row r="4" spans="1:6" ht="15.75" x14ac:dyDescent="0.25">
      <c r="A4" s="1"/>
      <c r="B4" s="8"/>
      <c r="C4" s="14"/>
      <c r="D4" s="69"/>
      <c r="E4" s="1"/>
      <c r="F4" s="1"/>
    </row>
    <row r="5" spans="1:6" ht="15.75" x14ac:dyDescent="0.25">
      <c r="A5" s="256" t="s">
        <v>240</v>
      </c>
      <c r="B5" s="256"/>
      <c r="C5" s="256"/>
      <c r="D5" s="256"/>
      <c r="E5" s="256"/>
      <c r="F5" s="256"/>
    </row>
    <row r="6" spans="1:6" ht="15.75" x14ac:dyDescent="0.25">
      <c r="A6" s="256" t="s">
        <v>242</v>
      </c>
      <c r="B6" s="256"/>
      <c r="C6" s="256"/>
      <c r="D6" s="256"/>
      <c r="E6" s="256"/>
      <c r="F6" s="256"/>
    </row>
    <row r="7" spans="1:6" ht="15.75" x14ac:dyDescent="0.25">
      <c r="A7" s="221" t="s">
        <v>243</v>
      </c>
      <c r="B7" s="221"/>
      <c r="C7" s="221"/>
      <c r="D7" s="221"/>
      <c r="E7" s="221"/>
      <c r="F7" s="221"/>
    </row>
    <row r="8" spans="1:6" ht="15.75" x14ac:dyDescent="0.25">
      <c r="A8" s="1"/>
      <c r="B8" s="12"/>
      <c r="C8" s="12"/>
      <c r="D8" s="69"/>
      <c r="E8" s="1"/>
      <c r="F8" s="47" t="s">
        <v>63</v>
      </c>
    </row>
    <row r="9" spans="1:6" ht="15.75" x14ac:dyDescent="0.25">
      <c r="A9" s="228" t="s">
        <v>231</v>
      </c>
      <c r="B9" s="243" t="s">
        <v>238</v>
      </c>
      <c r="C9" s="254" t="s">
        <v>74</v>
      </c>
      <c r="D9" s="323" t="s">
        <v>128</v>
      </c>
      <c r="E9" s="324"/>
      <c r="F9" s="325"/>
    </row>
    <row r="10" spans="1:6" ht="15.75" x14ac:dyDescent="0.2">
      <c r="A10" s="229"/>
      <c r="B10" s="244"/>
      <c r="C10" s="255"/>
      <c r="D10" s="318" t="s">
        <v>129</v>
      </c>
      <c r="E10" s="319"/>
      <c r="F10" s="228" t="s">
        <v>130</v>
      </c>
    </row>
    <row r="11" spans="1:6" ht="37.5" customHeight="1" x14ac:dyDescent="0.2">
      <c r="A11" s="230"/>
      <c r="B11" s="322"/>
      <c r="C11" s="291"/>
      <c r="D11" s="16" t="s">
        <v>111</v>
      </c>
      <c r="E11" s="17" t="s">
        <v>131</v>
      </c>
      <c r="F11" s="230"/>
    </row>
    <row r="12" spans="1:6" ht="48.75" customHeight="1" x14ac:dyDescent="0.25">
      <c r="A12" s="21" t="s">
        <v>78</v>
      </c>
      <c r="B12" s="128" t="str">
        <f>ASIGNAVIMAI!B12</f>
        <v>Savivaldybės valdymo programa</v>
      </c>
      <c r="C12" s="40">
        <f>'ASIGNAVIMAI IŠ SAVIV.BIUDŽETO'!C62</f>
        <v>0</v>
      </c>
      <c r="D12" s="40" t="e">
        <f>'ASIGNAVIMAI IŠ SAVIV.BIUDŽETO'!#REF!</f>
        <v>#REF!</v>
      </c>
      <c r="E12" s="40" t="e">
        <f>'ASIGNAVIMAI IŠ SAVIV.BIUDŽETO'!#REF!</f>
        <v>#REF!</v>
      </c>
      <c r="F12" s="40" t="e">
        <f>'ASIGNAVIMAI IŠ SAVIV.BIUDŽETO'!#REF!</f>
        <v>#REF!</v>
      </c>
    </row>
    <row r="13" spans="1:6" ht="15.75" x14ac:dyDescent="0.25">
      <c r="A13" s="21" t="s">
        <v>79</v>
      </c>
      <c r="B13" s="129" t="str">
        <f>ASIGNAVIMAI!B23</f>
        <v>Kaišiadorių r. Pravieniškių lopšelio-darželio „Ąžuoliukas“ direktorius</v>
      </c>
      <c r="C13" s="40" t="e">
        <f>'ASIGNAVIMAI IŠ SAVIV.BIUDŽETO'!#REF!</f>
        <v>#REF!</v>
      </c>
      <c r="D13" s="40" t="e">
        <f>'ASIGNAVIMAI IŠ SAVIV.BIUDŽETO'!#REF!</f>
        <v>#REF!</v>
      </c>
      <c r="E13" s="40" t="e">
        <f>'ASIGNAVIMAI IŠ SAVIV.BIUDŽETO'!#REF!</f>
        <v>#REF!</v>
      </c>
      <c r="F13" s="40" t="e">
        <f>'ASIGNAVIMAI IŠ SAVIV.BIUDŽETO'!#REF!</f>
        <v>#REF!</v>
      </c>
    </row>
    <row r="14" spans="1:6" ht="15.75" x14ac:dyDescent="0.25">
      <c r="A14" s="21" t="s">
        <v>80</v>
      </c>
      <c r="B14" s="21" t="str">
        <f>ASIGNAVIMAI!B52</f>
        <v>Palomenės seniūnas</v>
      </c>
      <c r="C14" s="40">
        <f>'ASIGNAVIMAI IŠ SAVIV.BIUDŽETO'!C92</f>
        <v>4842.3339999999998</v>
      </c>
      <c r="D14" s="40" t="e">
        <f>'ASIGNAVIMAI IŠ SAVIV.BIUDŽETO'!#REF!</f>
        <v>#REF!</v>
      </c>
      <c r="E14" s="40" t="e">
        <f>'ASIGNAVIMAI IŠ SAVIV.BIUDŽETO'!#REF!</f>
        <v>#REF!</v>
      </c>
      <c r="F14" s="40" t="e">
        <f>'ASIGNAVIMAI IŠ SAVIV.BIUDŽETO'!#REF!</f>
        <v>#REF!</v>
      </c>
    </row>
    <row r="15" spans="1:6" ht="15.75" x14ac:dyDescent="0.25">
      <c r="A15" s="21" t="s">
        <v>81</v>
      </c>
      <c r="B15" s="129" t="str">
        <f>ASIGNAVIMAI!B64</f>
        <v>Kaišiadorių r. Rumšiškių  lopšelio-darželio direktorius</v>
      </c>
      <c r="C15" s="40" t="e">
        <f>'ASIGNAVIMAI IŠ SAVIV.BIUDŽETO'!#REF!</f>
        <v>#REF!</v>
      </c>
      <c r="D15" s="40" t="e">
        <f>'ASIGNAVIMAI IŠ SAVIV.BIUDŽETO'!#REF!</f>
        <v>#REF!</v>
      </c>
      <c r="E15" s="40" t="e">
        <f>'ASIGNAVIMAI IŠ SAVIV.BIUDŽETO'!#REF!</f>
        <v>#REF!</v>
      </c>
      <c r="F15" s="40"/>
    </row>
    <row r="16" spans="1:6" ht="15.75" x14ac:dyDescent="0.25">
      <c r="A16" s="21" t="s">
        <v>82</v>
      </c>
      <c r="B16" s="21" t="str">
        <f>ASIGNAVIMAI!B82</f>
        <v>Kaišiadorių kultūros centro direktorius</v>
      </c>
      <c r="C16" s="40"/>
      <c r="D16" s="40"/>
      <c r="E16" s="40"/>
      <c r="F16" s="40"/>
    </row>
    <row r="17" spans="1:6" ht="15.75" x14ac:dyDescent="0.25">
      <c r="A17" s="21" t="s">
        <v>83</v>
      </c>
      <c r="B17" s="21" t="str">
        <f>ASIGNAVIMAI!B86</f>
        <v>Žaslių kultūros centro direktorius</v>
      </c>
      <c r="C17" s="40">
        <f>'ASIGNAVIMAI IŠ SAVIV.BIUDŽETO'!C128</f>
        <v>4424.5370000000003</v>
      </c>
      <c r="D17" s="40" t="e">
        <f>'ASIGNAVIMAI IŠ SAVIV.BIUDŽETO'!#REF!</f>
        <v>#REF!</v>
      </c>
      <c r="E17" s="40" t="e">
        <f>'ASIGNAVIMAI IŠ SAVIV.BIUDŽETO'!#REF!</f>
        <v>#REF!</v>
      </c>
      <c r="F17" s="40"/>
    </row>
    <row r="18" spans="1:6" ht="15.75" x14ac:dyDescent="0.25">
      <c r="A18" s="21" t="s">
        <v>84</v>
      </c>
      <c r="B18" s="21" t="str">
        <f>ASIGNAVIMAI!B89</f>
        <v>Sveikatos ir socialinės apsaugos programa</v>
      </c>
      <c r="C18" s="40" t="e">
        <f>'ASIGNAVIMAI IŠ SAVIV.BIUDŽETO'!#REF!</f>
        <v>#REF!</v>
      </c>
      <c r="D18" s="40" t="e">
        <f>'ASIGNAVIMAI IŠ SAVIV.BIUDŽETO'!#REF!</f>
        <v>#REF!</v>
      </c>
      <c r="E18" s="40"/>
      <c r="F18" s="40" t="e">
        <f>'ASIGNAVIMAI IŠ SAVIV.BIUDŽETO'!#REF!</f>
        <v>#REF!</v>
      </c>
    </row>
    <row r="19" spans="1:6" ht="15.75" x14ac:dyDescent="0.25">
      <c r="A19" s="21" t="s">
        <v>85</v>
      </c>
      <c r="B19" s="21" t="str">
        <f>ASIGNAVIMAI!B97</f>
        <v>Kaišiadorių r. Žiežmarių mokyklos-darželio „Vaikystės dvaras“ direktorius</v>
      </c>
      <c r="C19" s="40" t="e">
        <f>'ASIGNAVIMAI IŠ SAVIV.BIUDŽETO'!#REF!</f>
        <v>#REF!</v>
      </c>
      <c r="D19" s="40" t="e">
        <f>'ASIGNAVIMAI IŠ SAVIV.BIUDŽETO'!#REF!</f>
        <v>#REF!</v>
      </c>
      <c r="E19" s="40"/>
      <c r="F19" s="40"/>
    </row>
    <row r="20" spans="1:6" ht="15.75" x14ac:dyDescent="0.25">
      <c r="A20" s="21" t="s">
        <v>86</v>
      </c>
      <c r="B20" s="21" t="str">
        <f>ASIGNAVIMAI!B100</f>
        <v>Kaišiadorių r. Rumšiškių Antano Baranausko gimnazijos direktorius</v>
      </c>
      <c r="C20" s="40" t="e">
        <f>'ASIGNAVIMAI IŠ SAVIV.BIUDŽETO'!#REF!</f>
        <v>#REF!</v>
      </c>
      <c r="D20" s="40" t="e">
        <f>'ASIGNAVIMAI IŠ SAVIV.BIUDŽETO'!#REF!</f>
        <v>#REF!</v>
      </c>
      <c r="E20" s="40" t="e">
        <f>'ASIGNAVIMAI IŠ SAVIV.BIUDŽETO'!#REF!</f>
        <v>#REF!</v>
      </c>
      <c r="F20" s="40"/>
    </row>
    <row r="21" spans="1:6" ht="31.5" x14ac:dyDescent="0.25">
      <c r="A21" s="21" t="s">
        <v>87</v>
      </c>
      <c r="B21" s="98" t="str">
        <f>ASIGNAVIMAI!B105</f>
        <v>Kaišiadorių šventosios Faustinos ugdymo centro direktorius</v>
      </c>
      <c r="C21" s="40" t="e">
        <f>'ASIGNAVIMAI IŠ SAVIV.BIUDŽETO'!#REF!</f>
        <v>#REF!</v>
      </c>
      <c r="D21" s="40" t="e">
        <f>'ASIGNAVIMAI IŠ SAVIV.BIUDŽETO'!#REF!</f>
        <v>#REF!</v>
      </c>
      <c r="E21" s="40"/>
      <c r="F21" s="40" t="e">
        <f>'ASIGNAVIMAI IŠ SAVIV.BIUDŽETO'!#REF!</f>
        <v>#REF!</v>
      </c>
    </row>
    <row r="22" spans="1:6" ht="15.75" x14ac:dyDescent="0.25">
      <c r="A22" s="21" t="s">
        <v>88</v>
      </c>
      <c r="B22" s="21" t="str">
        <f>ASIGNAVIMAI!B109</f>
        <v>Rumšiškių kultūros centro direktorius</v>
      </c>
      <c r="C22" s="40" t="e">
        <f>'ASIGNAVIMAI IŠ SAVIV.BIUDŽETO'!#REF!</f>
        <v>#REF!</v>
      </c>
      <c r="D22" s="40"/>
      <c r="E22" s="40"/>
      <c r="F22" s="40" t="e">
        <f>'ASIGNAVIMAI IŠ SAVIV.BIUDŽETO'!#REF!</f>
        <v>#REF!</v>
      </c>
    </row>
    <row r="23" spans="1:6" ht="15.75" x14ac:dyDescent="0.25">
      <c r="A23" s="21" t="s">
        <v>89</v>
      </c>
      <c r="B23" s="21" t="str">
        <f>ASIGNAVIMAI!B114</f>
        <v>Pravieniškių seniūnas</v>
      </c>
      <c r="C23" s="40" t="e">
        <f>'ASIGNAVIMAI IŠ SAVIV.BIUDŽETO'!#REF!</f>
        <v>#REF!</v>
      </c>
      <c r="D23" s="40" t="e">
        <f>'ASIGNAVIMAI IŠ SAVIV.BIUDŽETO'!#REF!</f>
        <v>#REF!</v>
      </c>
      <c r="E23" s="40"/>
      <c r="F23" s="40" t="e">
        <f>'ASIGNAVIMAI IŠ SAVIV.BIUDŽETO'!#REF!</f>
        <v>#REF!</v>
      </c>
    </row>
    <row r="24" spans="1:6" ht="15.75" x14ac:dyDescent="0.25">
      <c r="A24" s="21" t="s">
        <v>147</v>
      </c>
      <c r="B24" s="23" t="str">
        <f>ASIGNAVIMAI!B125</f>
        <v>Palomenės seniūnas</v>
      </c>
      <c r="C24" s="40" t="e">
        <f>'ASIGNAVIMAI IŠ SAVIV.BIUDŽETO'!#REF!</f>
        <v>#REF!</v>
      </c>
      <c r="D24" s="40" t="e">
        <f>'ASIGNAVIMAI IŠ SAVIV.BIUDŽETO'!#REF!</f>
        <v>#REF!</v>
      </c>
      <c r="E24" s="40"/>
      <c r="F24" s="40" t="e">
        <f>'ASIGNAVIMAI IŠ SAVIV.BIUDŽETO'!#REF!</f>
        <v>#REF!</v>
      </c>
    </row>
    <row r="25" spans="1:6" ht="24.75" customHeight="1" x14ac:dyDescent="0.25">
      <c r="A25" s="327" t="s">
        <v>133</v>
      </c>
      <c r="B25" s="328"/>
      <c r="C25" s="43" t="e">
        <f>SUM(C12:C24)</f>
        <v>#REF!</v>
      </c>
      <c r="D25" s="43" t="e">
        <f t="shared" ref="D25:F25" si="0">SUM(D12:D24)</f>
        <v>#REF!</v>
      </c>
      <c r="E25" s="43" t="e">
        <f t="shared" si="0"/>
        <v>#REF!</v>
      </c>
      <c r="F25" s="43" t="e">
        <f t="shared" si="0"/>
        <v>#REF!</v>
      </c>
    </row>
    <row r="27" spans="1:6" x14ac:dyDescent="0.2">
      <c r="A27" s="115"/>
      <c r="B27" s="115"/>
      <c r="C27" s="115"/>
      <c r="D27" s="115"/>
      <c r="E27" s="115"/>
      <c r="F27" s="115"/>
    </row>
  </sheetData>
  <mergeCells count="13">
    <mergeCell ref="F10:F11"/>
    <mergeCell ref="A25:B25"/>
    <mergeCell ref="C1:F1"/>
    <mergeCell ref="C2:F2"/>
    <mergeCell ref="C3:F3"/>
    <mergeCell ref="A5:F5"/>
    <mergeCell ref="A7:F7"/>
    <mergeCell ref="A9:A11"/>
    <mergeCell ref="B9:B11"/>
    <mergeCell ref="C9:C11"/>
    <mergeCell ref="D9:F9"/>
    <mergeCell ref="D10:E10"/>
    <mergeCell ref="A6:F6"/>
  </mergeCells>
  <pageMargins left="0.51181102362204722" right="0.31496062992125984" top="0.55118110236220474" bottom="0.55118110236220474" header="0.31496062992125984" footer="0.31496062992125984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"/>
  <sheetViews>
    <sheetView workbookViewId="0">
      <selection sqref="A1:XFD1048576"/>
    </sheetView>
  </sheetViews>
  <sheetFormatPr defaultRowHeight="12.75" x14ac:dyDescent="0.2"/>
  <sheetData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2"/>
  <sheetViews>
    <sheetView showZeros="0" workbookViewId="0">
      <selection activeCell="A60" sqref="A60"/>
    </sheetView>
  </sheetViews>
  <sheetFormatPr defaultRowHeight="12.75" x14ac:dyDescent="0.2"/>
  <cols>
    <col min="1" max="1" width="5.5703125" customWidth="1"/>
    <col min="2" max="2" width="36.85546875" customWidth="1"/>
    <col min="3" max="3" width="14.140625" style="67" customWidth="1"/>
    <col min="4" max="4" width="12" customWidth="1"/>
    <col min="5" max="6" width="14.42578125" customWidth="1"/>
  </cols>
  <sheetData>
    <row r="1" spans="1:6" ht="15.75" x14ac:dyDescent="0.25">
      <c r="A1" s="1"/>
      <c r="B1" s="1"/>
      <c r="C1" s="12"/>
      <c r="D1" s="1" t="s">
        <v>77</v>
      </c>
      <c r="E1" s="1"/>
      <c r="F1" s="1"/>
    </row>
    <row r="2" spans="1:6" ht="15.75" customHeight="1" x14ac:dyDescent="0.25">
      <c r="A2" s="1"/>
      <c r="B2" s="1"/>
      <c r="C2" s="12"/>
      <c r="D2" s="220" t="s">
        <v>473</v>
      </c>
      <c r="E2" s="220"/>
      <c r="F2" s="220"/>
    </row>
    <row r="3" spans="1:6" ht="15.75" x14ac:dyDescent="0.25">
      <c r="A3" s="1"/>
      <c r="B3" s="1"/>
      <c r="C3" s="12"/>
      <c r="D3" s="220"/>
      <c r="E3" s="220"/>
      <c r="F3" s="220"/>
    </row>
    <row r="4" spans="1:6" ht="15.75" hidden="1" customHeight="1" x14ac:dyDescent="0.25">
      <c r="A4" s="1"/>
      <c r="B4" s="1"/>
      <c r="C4" s="12"/>
      <c r="D4" s="220" t="s">
        <v>470</v>
      </c>
      <c r="E4" s="220"/>
      <c r="F4" s="220"/>
    </row>
    <row r="5" spans="1:6" ht="15.75" hidden="1" x14ac:dyDescent="0.25">
      <c r="A5" s="1"/>
      <c r="B5" s="1"/>
      <c r="C5" s="12"/>
      <c r="D5" s="220"/>
      <c r="E5" s="220"/>
      <c r="F5" s="220"/>
    </row>
    <row r="6" spans="1:6" ht="15.75" hidden="1" x14ac:dyDescent="0.25">
      <c r="A6" s="1"/>
      <c r="B6" s="1"/>
      <c r="C6" s="12"/>
      <c r="D6" s="220"/>
      <c r="E6" s="220"/>
      <c r="F6" s="220"/>
    </row>
    <row r="7" spans="1:6" ht="15.75" x14ac:dyDescent="0.25">
      <c r="A7" s="1"/>
      <c r="B7" s="1"/>
      <c r="C7" s="12"/>
      <c r="D7" s="181"/>
      <c r="E7" s="181"/>
      <c r="F7" s="181"/>
    </row>
    <row r="8" spans="1:6" ht="15.75" x14ac:dyDescent="0.25">
      <c r="A8" s="1"/>
      <c r="B8" s="12" t="s">
        <v>475</v>
      </c>
      <c r="C8" s="60"/>
      <c r="D8" s="12"/>
      <c r="E8" s="12"/>
      <c r="F8" s="12"/>
    </row>
    <row r="9" spans="1:6" ht="15.75" x14ac:dyDescent="0.25">
      <c r="A9" s="221" t="s">
        <v>153</v>
      </c>
      <c r="B9" s="221"/>
      <c r="C9" s="221"/>
      <c r="D9" s="221"/>
      <c r="E9" s="221"/>
      <c r="F9" s="221"/>
    </row>
    <row r="10" spans="1:6" ht="15.75" x14ac:dyDescent="0.25">
      <c r="A10" s="10"/>
      <c r="B10" s="10"/>
      <c r="C10" s="10"/>
      <c r="D10" s="10"/>
      <c r="E10" s="10"/>
      <c r="F10" s="62" t="s">
        <v>271</v>
      </c>
    </row>
    <row r="11" spans="1:6" ht="12.75" customHeight="1" x14ac:dyDescent="0.2">
      <c r="A11" s="228" t="s">
        <v>231</v>
      </c>
      <c r="B11" s="231" t="s">
        <v>96</v>
      </c>
      <c r="C11" s="234" t="s">
        <v>91</v>
      </c>
      <c r="D11" s="228" t="s">
        <v>166</v>
      </c>
      <c r="E11" s="237" t="s">
        <v>146</v>
      </c>
      <c r="F11" s="240" t="s">
        <v>167</v>
      </c>
    </row>
    <row r="12" spans="1:6" ht="12.75" customHeight="1" x14ac:dyDescent="0.2">
      <c r="A12" s="229"/>
      <c r="B12" s="232"/>
      <c r="C12" s="235"/>
      <c r="D12" s="229"/>
      <c r="E12" s="238"/>
      <c r="F12" s="240"/>
    </row>
    <row r="13" spans="1:6" ht="69.75" customHeight="1" x14ac:dyDescent="0.2">
      <c r="A13" s="230"/>
      <c r="B13" s="233"/>
      <c r="C13" s="236"/>
      <c r="D13" s="230"/>
      <c r="E13" s="239"/>
      <c r="F13" s="240"/>
    </row>
    <row r="14" spans="1:6" ht="24" customHeight="1" x14ac:dyDescent="0.25">
      <c r="A14" s="93" t="s">
        <v>78</v>
      </c>
      <c r="B14" s="30" t="s">
        <v>113</v>
      </c>
      <c r="C14" s="41">
        <f>F14</f>
        <v>18</v>
      </c>
      <c r="D14" s="40"/>
      <c r="E14" s="46"/>
      <c r="F14" s="40">
        <v>18</v>
      </c>
    </row>
    <row r="15" spans="1:6" ht="33.75" customHeight="1" x14ac:dyDescent="0.25">
      <c r="A15" s="93" t="s">
        <v>79</v>
      </c>
      <c r="B15" s="30" t="s">
        <v>108</v>
      </c>
      <c r="C15" s="41">
        <f>D15+E15+F15</f>
        <v>86</v>
      </c>
      <c r="D15" s="40"/>
      <c r="E15" s="46">
        <v>85</v>
      </c>
      <c r="F15" s="40">
        <v>1</v>
      </c>
    </row>
    <row r="16" spans="1:6" ht="33.75" customHeight="1" x14ac:dyDescent="0.25">
      <c r="A16" s="93" t="s">
        <v>80</v>
      </c>
      <c r="B16" s="30" t="s">
        <v>2</v>
      </c>
      <c r="C16" s="41">
        <f t="shared" ref="C16" si="0">D16+E16+F16</f>
        <v>90</v>
      </c>
      <c r="D16" s="40"/>
      <c r="E16" s="46">
        <v>89</v>
      </c>
      <c r="F16" s="40">
        <v>1</v>
      </c>
    </row>
    <row r="17" spans="1:6" ht="33.75" customHeight="1" x14ac:dyDescent="0.25">
      <c r="A17" s="93" t="s">
        <v>81</v>
      </c>
      <c r="B17" s="30" t="s">
        <v>9</v>
      </c>
      <c r="C17" s="41">
        <f t="shared" ref="C17:C31" si="1">D17+E17+F17</f>
        <v>31</v>
      </c>
      <c r="D17" s="40"/>
      <c r="E17" s="46">
        <v>31</v>
      </c>
      <c r="F17" s="40"/>
    </row>
    <row r="18" spans="1:6" ht="33.75" customHeight="1" x14ac:dyDescent="0.25">
      <c r="A18" s="93" t="s">
        <v>82</v>
      </c>
      <c r="B18" s="30" t="s">
        <v>124</v>
      </c>
      <c r="C18" s="41">
        <f t="shared" si="1"/>
        <v>27.8</v>
      </c>
      <c r="D18" s="40"/>
      <c r="E18" s="46">
        <v>27</v>
      </c>
      <c r="F18" s="40">
        <v>0.8</v>
      </c>
    </row>
    <row r="19" spans="1:6" ht="33.75" customHeight="1" x14ac:dyDescent="0.25">
      <c r="A19" s="93" t="s">
        <v>83</v>
      </c>
      <c r="B19" s="30" t="s">
        <v>75</v>
      </c>
      <c r="C19" s="41">
        <f t="shared" si="1"/>
        <v>51</v>
      </c>
      <c r="D19" s="40"/>
      <c r="E19" s="46">
        <v>51</v>
      </c>
      <c r="F19" s="40"/>
    </row>
    <row r="20" spans="1:6" ht="33.75" customHeight="1" x14ac:dyDescent="0.25">
      <c r="A20" s="93" t="s">
        <v>84</v>
      </c>
      <c r="B20" s="30" t="s">
        <v>155</v>
      </c>
      <c r="C20" s="41">
        <f t="shared" si="1"/>
        <v>73</v>
      </c>
      <c r="D20" s="40"/>
      <c r="E20" s="46">
        <v>73</v>
      </c>
      <c r="F20" s="40"/>
    </row>
    <row r="21" spans="1:6" ht="33.75" customHeight="1" x14ac:dyDescent="0.25">
      <c r="A21" s="93" t="s">
        <v>85</v>
      </c>
      <c r="B21" s="30" t="s">
        <v>125</v>
      </c>
      <c r="C21" s="41">
        <f t="shared" si="1"/>
        <v>6.2</v>
      </c>
      <c r="D21" s="40"/>
      <c r="E21" s="46"/>
      <c r="F21" s="40">
        <v>6.2</v>
      </c>
    </row>
    <row r="22" spans="1:6" ht="33.75" customHeight="1" x14ac:dyDescent="0.25">
      <c r="A22" s="93" t="s">
        <v>86</v>
      </c>
      <c r="B22" s="30" t="s">
        <v>71</v>
      </c>
      <c r="C22" s="41">
        <f t="shared" si="1"/>
        <v>2</v>
      </c>
      <c r="D22" s="40"/>
      <c r="E22" s="46"/>
      <c r="F22" s="40">
        <v>2</v>
      </c>
    </row>
    <row r="23" spans="1:6" ht="33.75" customHeight="1" x14ac:dyDescent="0.25">
      <c r="A23" s="93" t="s">
        <v>87</v>
      </c>
      <c r="B23" s="30" t="s">
        <v>97</v>
      </c>
      <c r="C23" s="41">
        <f t="shared" si="1"/>
        <v>17.25</v>
      </c>
      <c r="D23" s="40">
        <v>0.05</v>
      </c>
      <c r="E23" s="46">
        <v>16</v>
      </c>
      <c r="F23" s="40">
        <v>1.2</v>
      </c>
    </row>
    <row r="24" spans="1:6" ht="33.75" customHeight="1" x14ac:dyDescent="0.25">
      <c r="A24" s="93" t="s">
        <v>88</v>
      </c>
      <c r="B24" s="30" t="s">
        <v>293</v>
      </c>
      <c r="C24" s="41">
        <f t="shared" si="1"/>
        <v>16.8</v>
      </c>
      <c r="D24" s="40"/>
      <c r="E24" s="46">
        <v>16</v>
      </c>
      <c r="F24" s="40">
        <v>0.8</v>
      </c>
    </row>
    <row r="25" spans="1:6" ht="33.75" customHeight="1" x14ac:dyDescent="0.25">
      <c r="A25" s="93" t="s">
        <v>89</v>
      </c>
      <c r="B25" s="30" t="s">
        <v>72</v>
      </c>
      <c r="C25" s="41">
        <f t="shared" si="1"/>
        <v>23.9</v>
      </c>
      <c r="D25" s="40"/>
      <c r="E25" s="46">
        <v>16.2</v>
      </c>
      <c r="F25" s="40">
        <v>7.7</v>
      </c>
    </row>
    <row r="26" spans="1:6" ht="33.75" customHeight="1" x14ac:dyDescent="0.25">
      <c r="A26" s="93" t="s">
        <v>147</v>
      </c>
      <c r="B26" s="30" t="s">
        <v>73</v>
      </c>
      <c r="C26" s="41">
        <f t="shared" si="1"/>
        <v>22</v>
      </c>
      <c r="D26" s="40"/>
      <c r="E26" s="46">
        <v>21.6</v>
      </c>
      <c r="F26" s="40">
        <v>0.4</v>
      </c>
    </row>
    <row r="27" spans="1:6" ht="33.75" customHeight="1" x14ac:dyDescent="0.25">
      <c r="A27" s="93" t="s">
        <v>400</v>
      </c>
      <c r="B27" s="30" t="s">
        <v>10</v>
      </c>
      <c r="C27" s="41">
        <f t="shared" si="1"/>
        <v>6.95</v>
      </c>
      <c r="D27" s="40"/>
      <c r="E27" s="46">
        <v>6.7</v>
      </c>
      <c r="F27" s="40">
        <v>0.25</v>
      </c>
    </row>
    <row r="28" spans="1:6" ht="33.75" customHeight="1" x14ac:dyDescent="0.25">
      <c r="A28" s="93" t="s">
        <v>401</v>
      </c>
      <c r="B28" s="30" t="s">
        <v>246</v>
      </c>
      <c r="C28" s="41">
        <f t="shared" si="1"/>
        <v>3</v>
      </c>
      <c r="D28" s="40">
        <v>3</v>
      </c>
      <c r="E28" s="46"/>
      <c r="F28" s="40"/>
    </row>
    <row r="29" spans="1:6" ht="33.75" customHeight="1" x14ac:dyDescent="0.25">
      <c r="A29" s="93" t="s">
        <v>402</v>
      </c>
      <c r="B29" s="30" t="s">
        <v>327</v>
      </c>
      <c r="C29" s="41">
        <f t="shared" si="1"/>
        <v>109.5</v>
      </c>
      <c r="D29" s="40">
        <v>30</v>
      </c>
      <c r="E29" s="46">
        <v>79</v>
      </c>
      <c r="F29" s="40">
        <v>0.5</v>
      </c>
    </row>
    <row r="30" spans="1:6" ht="24" customHeight="1" x14ac:dyDescent="0.25">
      <c r="A30" s="93" t="s">
        <v>403</v>
      </c>
      <c r="B30" s="30" t="s">
        <v>98</v>
      </c>
      <c r="C30" s="41">
        <f t="shared" si="1"/>
        <v>110</v>
      </c>
      <c r="D30" s="40"/>
      <c r="E30" s="46">
        <v>108.5</v>
      </c>
      <c r="F30" s="40">
        <v>1.5</v>
      </c>
    </row>
    <row r="31" spans="1:6" ht="33.75" customHeight="1" x14ac:dyDescent="0.25">
      <c r="A31" s="93" t="s">
        <v>404</v>
      </c>
      <c r="B31" s="30" t="s">
        <v>291</v>
      </c>
      <c r="C31" s="41">
        <f t="shared" si="1"/>
        <v>120</v>
      </c>
      <c r="D31" s="40">
        <v>68</v>
      </c>
      <c r="E31" s="46">
        <v>52</v>
      </c>
      <c r="F31" s="40"/>
    </row>
    <row r="32" spans="1:6" ht="33.75" customHeight="1" x14ac:dyDescent="0.25">
      <c r="A32" s="93" t="s">
        <v>405</v>
      </c>
      <c r="B32" s="30" t="s">
        <v>432</v>
      </c>
      <c r="C32" s="41">
        <f>D32+E32+F32</f>
        <v>2</v>
      </c>
      <c r="D32" s="40">
        <v>2</v>
      </c>
      <c r="E32" s="46"/>
      <c r="F32" s="40"/>
    </row>
    <row r="33" spans="1:6" ht="24" customHeight="1" x14ac:dyDescent="0.25">
      <c r="A33" s="93" t="s">
        <v>406</v>
      </c>
      <c r="B33" s="27" t="s">
        <v>99</v>
      </c>
      <c r="C33" s="41">
        <f t="shared" ref="C33:C38" si="2">D33+E33+F33</f>
        <v>45</v>
      </c>
      <c r="D33" s="40">
        <v>15</v>
      </c>
      <c r="E33" s="46"/>
      <c r="F33" s="40">
        <v>30</v>
      </c>
    </row>
    <row r="34" spans="1:6" ht="24" customHeight="1" x14ac:dyDescent="0.25">
      <c r="A34" s="93" t="s">
        <v>407</v>
      </c>
      <c r="B34" s="36" t="s">
        <v>100</v>
      </c>
      <c r="C34" s="41">
        <f t="shared" si="2"/>
        <v>0.95</v>
      </c>
      <c r="D34" s="40"/>
      <c r="E34" s="46"/>
      <c r="F34" s="40">
        <v>0.95</v>
      </c>
    </row>
    <row r="35" spans="1:6" ht="24" customHeight="1" x14ac:dyDescent="0.25">
      <c r="A35" s="93" t="s">
        <v>408</v>
      </c>
      <c r="B35" s="36" t="s">
        <v>101</v>
      </c>
      <c r="C35" s="41">
        <f t="shared" si="2"/>
        <v>5</v>
      </c>
      <c r="D35" s="40"/>
      <c r="E35" s="66"/>
      <c r="F35" s="40">
        <v>5</v>
      </c>
    </row>
    <row r="36" spans="1:6" ht="24" customHeight="1" x14ac:dyDescent="0.25">
      <c r="A36" s="93" t="s">
        <v>409</v>
      </c>
      <c r="B36" s="36" t="s">
        <v>102</v>
      </c>
      <c r="C36" s="41">
        <f t="shared" si="2"/>
        <v>3</v>
      </c>
      <c r="D36" s="40"/>
      <c r="E36" s="46"/>
      <c r="F36" s="40">
        <v>3</v>
      </c>
    </row>
    <row r="37" spans="1:6" ht="24" customHeight="1" x14ac:dyDescent="0.25">
      <c r="A37" s="93" t="s">
        <v>410</v>
      </c>
      <c r="B37" s="36" t="s">
        <v>103</v>
      </c>
      <c r="C37" s="41">
        <f t="shared" si="2"/>
        <v>23</v>
      </c>
      <c r="D37" s="40">
        <v>22</v>
      </c>
      <c r="E37" s="85"/>
      <c r="F37" s="40">
        <v>1</v>
      </c>
    </row>
    <row r="38" spans="1:6" ht="24" customHeight="1" x14ac:dyDescent="0.25">
      <c r="A38" s="93" t="s">
        <v>411</v>
      </c>
      <c r="B38" s="36" t="s">
        <v>104</v>
      </c>
      <c r="C38" s="41">
        <f t="shared" si="2"/>
        <v>0.8</v>
      </c>
      <c r="D38" s="40"/>
      <c r="E38" s="46"/>
      <c r="F38" s="40">
        <f>0.5+0.3</f>
        <v>0.8</v>
      </c>
    </row>
    <row r="39" spans="1:6" ht="33.75" customHeight="1" x14ac:dyDescent="0.25">
      <c r="A39" s="93" t="s">
        <v>412</v>
      </c>
      <c r="B39" s="30" t="s">
        <v>105</v>
      </c>
      <c r="C39" s="41">
        <f>D39+E39+F39</f>
        <v>186</v>
      </c>
      <c r="D39" s="40">
        <v>184.5</v>
      </c>
      <c r="E39" s="46">
        <v>1.5</v>
      </c>
      <c r="F39" s="40"/>
    </row>
    <row r="40" spans="1:6" ht="33.75" customHeight="1" x14ac:dyDescent="0.25">
      <c r="A40" s="93" t="s">
        <v>413</v>
      </c>
      <c r="B40" s="30" t="s">
        <v>106</v>
      </c>
      <c r="C40" s="41">
        <f>D40+E40+F40</f>
        <v>8</v>
      </c>
      <c r="D40" s="40">
        <v>8</v>
      </c>
      <c r="E40" s="46"/>
      <c r="F40" s="40"/>
    </row>
    <row r="41" spans="1:6" ht="24" customHeight="1" x14ac:dyDescent="0.25">
      <c r="A41" s="93" t="s">
        <v>414</v>
      </c>
      <c r="B41" s="27" t="s">
        <v>115</v>
      </c>
      <c r="C41" s="41">
        <f>D41+E41+F41</f>
        <v>63</v>
      </c>
      <c r="D41" s="40"/>
      <c r="E41" s="85"/>
      <c r="F41" s="40">
        <v>63</v>
      </c>
    </row>
    <row r="42" spans="1:6" ht="24" customHeight="1" x14ac:dyDescent="0.25">
      <c r="A42" s="93" t="s">
        <v>415</v>
      </c>
      <c r="B42" s="27" t="s">
        <v>163</v>
      </c>
      <c r="C42" s="41">
        <f t="shared" ref="C42:C48" si="3">D42+E42+F42</f>
        <v>2.2999999999999998</v>
      </c>
      <c r="D42" s="40"/>
      <c r="E42" s="85"/>
      <c r="F42" s="40">
        <v>2.2999999999999998</v>
      </c>
    </row>
    <row r="43" spans="1:6" ht="24" customHeight="1" x14ac:dyDescent="0.25">
      <c r="A43" s="93" t="s">
        <v>416</v>
      </c>
      <c r="B43" s="27" t="s">
        <v>116</v>
      </c>
      <c r="C43" s="41">
        <f t="shared" si="3"/>
        <v>2</v>
      </c>
      <c r="D43" s="40"/>
      <c r="E43" s="85"/>
      <c r="F43" s="40">
        <v>2</v>
      </c>
    </row>
    <row r="44" spans="1:6" ht="24" customHeight="1" x14ac:dyDescent="0.25">
      <c r="A44" s="93" t="s">
        <v>417</v>
      </c>
      <c r="B44" s="27" t="s">
        <v>119</v>
      </c>
      <c r="C44" s="41">
        <f t="shared" si="3"/>
        <v>0.4</v>
      </c>
      <c r="D44" s="40"/>
      <c r="E44" s="85"/>
      <c r="F44" s="40">
        <v>0.4</v>
      </c>
    </row>
    <row r="45" spans="1:6" ht="24" customHeight="1" x14ac:dyDescent="0.25">
      <c r="A45" s="93" t="s">
        <v>418</v>
      </c>
      <c r="B45" s="27" t="s">
        <v>121</v>
      </c>
      <c r="C45" s="41">
        <f t="shared" si="3"/>
        <v>2</v>
      </c>
      <c r="D45" s="40"/>
      <c r="E45" s="85"/>
      <c r="F45" s="40">
        <v>2</v>
      </c>
    </row>
    <row r="46" spans="1:6" ht="24" customHeight="1" x14ac:dyDescent="0.25">
      <c r="A46" s="93" t="s">
        <v>419</v>
      </c>
      <c r="B46" s="27" t="s">
        <v>123</v>
      </c>
      <c r="C46" s="41">
        <f t="shared" si="3"/>
        <v>1.7</v>
      </c>
      <c r="D46" s="40"/>
      <c r="E46" s="85"/>
      <c r="F46" s="40">
        <v>1.7</v>
      </c>
    </row>
    <row r="47" spans="1:6" ht="24" customHeight="1" x14ac:dyDescent="0.25">
      <c r="A47" s="93" t="s">
        <v>420</v>
      </c>
      <c r="B47" s="27" t="s">
        <v>164</v>
      </c>
      <c r="C47" s="41">
        <f t="shared" si="3"/>
        <v>4.5</v>
      </c>
      <c r="D47" s="40"/>
      <c r="E47" s="85"/>
      <c r="F47" s="40">
        <v>4.5</v>
      </c>
    </row>
    <row r="48" spans="1:6" ht="24" customHeight="1" x14ac:dyDescent="0.25">
      <c r="A48" s="7" t="s">
        <v>421</v>
      </c>
      <c r="B48" s="27" t="s">
        <v>127</v>
      </c>
      <c r="C48" s="41">
        <f t="shared" si="3"/>
        <v>14</v>
      </c>
      <c r="D48" s="40"/>
      <c r="E48" s="46"/>
      <c r="F48" s="40">
        <v>14</v>
      </c>
    </row>
    <row r="49" spans="1:6" ht="24" customHeight="1" x14ac:dyDescent="0.25">
      <c r="A49" s="226" t="s">
        <v>322</v>
      </c>
      <c r="B49" s="227"/>
      <c r="C49" s="43">
        <f>SUM(C14:C48)</f>
        <v>1178.0500000000002</v>
      </c>
      <c r="D49" s="43">
        <f t="shared" ref="D49:F49" si="4">SUM(D14:D48)</f>
        <v>332.55</v>
      </c>
      <c r="E49" s="43">
        <f t="shared" si="4"/>
        <v>673.5</v>
      </c>
      <c r="F49" s="43">
        <f t="shared" si="4"/>
        <v>172</v>
      </c>
    </row>
    <row r="51" spans="1:6" x14ac:dyDescent="0.2">
      <c r="A51" s="115"/>
      <c r="B51" s="115"/>
      <c r="C51" s="116"/>
      <c r="D51" s="115"/>
      <c r="E51" s="115"/>
      <c r="F51" s="115"/>
    </row>
    <row r="52" spans="1:6" x14ac:dyDescent="0.2">
      <c r="C52" s="81"/>
      <c r="E52" s="83"/>
    </row>
  </sheetData>
  <mergeCells count="10">
    <mergeCell ref="D2:F3"/>
    <mergeCell ref="D4:F6"/>
    <mergeCell ref="A49:B49"/>
    <mergeCell ref="A9:F9"/>
    <mergeCell ref="A11:A13"/>
    <mergeCell ref="B11:B13"/>
    <mergeCell ref="C11:C13"/>
    <mergeCell ref="D11:D13"/>
    <mergeCell ref="E11:E13"/>
    <mergeCell ref="F11:F13"/>
  </mergeCells>
  <phoneticPr fontId="9" type="noConversion"/>
  <pageMargins left="0.74803149606299213" right="0" top="0" bottom="0" header="0" footer="0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24"/>
  <sheetViews>
    <sheetView topLeftCell="A7" workbookViewId="0">
      <selection sqref="A1:XFD1048576"/>
    </sheetView>
  </sheetViews>
  <sheetFormatPr defaultRowHeight="12.75" x14ac:dyDescent="0.2"/>
  <cols>
    <col min="1" max="1" width="6.85546875" customWidth="1"/>
    <col min="2" max="2" width="44" customWidth="1"/>
    <col min="3" max="3" width="11.85546875" customWidth="1"/>
    <col min="4" max="4" width="11.140625" customWidth="1"/>
    <col min="5" max="5" width="13.7109375" customWidth="1"/>
    <col min="6" max="6" width="10.85546875" customWidth="1"/>
  </cols>
  <sheetData>
    <row r="1" spans="1:6" ht="15.75" x14ac:dyDescent="0.25">
      <c r="A1" s="1"/>
      <c r="B1" s="1"/>
      <c r="C1" s="251" t="s">
        <v>236</v>
      </c>
      <c r="D1" s="251"/>
      <c r="E1" s="251"/>
      <c r="F1" s="251"/>
    </row>
    <row r="2" spans="1:6" ht="15.75" x14ac:dyDescent="0.25">
      <c r="A2" s="1"/>
      <c r="B2" s="1"/>
      <c r="C2" s="326" t="s">
        <v>132</v>
      </c>
      <c r="D2" s="326"/>
      <c r="E2" s="326"/>
      <c r="F2" s="326"/>
    </row>
    <row r="3" spans="1:6" ht="15.75" x14ac:dyDescent="0.25">
      <c r="A3" s="1"/>
      <c r="B3" s="1"/>
      <c r="C3" s="326" t="s">
        <v>235</v>
      </c>
      <c r="D3" s="326"/>
      <c r="E3" s="326"/>
      <c r="F3" s="326"/>
    </row>
    <row r="4" spans="1:6" ht="15.75" x14ac:dyDescent="0.25">
      <c r="A4" s="1"/>
      <c r="B4" s="8"/>
      <c r="C4" s="14"/>
      <c r="D4" s="69"/>
      <c r="E4" s="1"/>
      <c r="F4" s="1"/>
    </row>
    <row r="5" spans="1:6" ht="15.75" x14ac:dyDescent="0.25">
      <c r="A5" s="256" t="s">
        <v>233</v>
      </c>
      <c r="B5" s="256"/>
      <c r="C5" s="256"/>
      <c r="D5" s="256"/>
      <c r="E5" s="256"/>
      <c r="F5" s="256"/>
    </row>
    <row r="6" spans="1:6" ht="15.75" x14ac:dyDescent="0.25">
      <c r="A6" s="221" t="s">
        <v>239</v>
      </c>
      <c r="B6" s="221"/>
      <c r="C6" s="221"/>
      <c r="D6" s="221"/>
      <c r="E6" s="221"/>
      <c r="F6" s="221"/>
    </row>
    <row r="7" spans="1:6" ht="15.75" x14ac:dyDescent="0.25">
      <c r="A7" s="1"/>
      <c r="B7" s="12"/>
      <c r="C7" s="12"/>
      <c r="D7" s="69"/>
      <c r="E7" s="1"/>
      <c r="F7" s="47" t="s">
        <v>63</v>
      </c>
    </row>
    <row r="8" spans="1:6" ht="15.75" x14ac:dyDescent="0.25">
      <c r="A8" s="228" t="s">
        <v>231</v>
      </c>
      <c r="B8" s="243" t="s">
        <v>238</v>
      </c>
      <c r="C8" s="254" t="s">
        <v>74</v>
      </c>
      <c r="D8" s="323" t="s">
        <v>128</v>
      </c>
      <c r="E8" s="324"/>
      <c r="F8" s="325"/>
    </row>
    <row r="9" spans="1:6" ht="15.75" x14ac:dyDescent="0.2">
      <c r="A9" s="229"/>
      <c r="B9" s="244"/>
      <c r="C9" s="255"/>
      <c r="D9" s="318" t="s">
        <v>129</v>
      </c>
      <c r="E9" s="319"/>
      <c r="F9" s="228" t="s">
        <v>130</v>
      </c>
    </row>
    <row r="10" spans="1:6" ht="31.5" x14ac:dyDescent="0.2">
      <c r="A10" s="230"/>
      <c r="B10" s="322"/>
      <c r="C10" s="291"/>
      <c r="D10" s="16" t="s">
        <v>111</v>
      </c>
      <c r="E10" s="17" t="s">
        <v>131</v>
      </c>
      <c r="F10" s="230"/>
    </row>
    <row r="11" spans="1:6" ht="42.75" customHeight="1" x14ac:dyDescent="0.25">
      <c r="A11" s="21" t="s">
        <v>78</v>
      </c>
      <c r="B11" s="128" t="str">
        <f>ASIGNAVIMAI!B12</f>
        <v>Savivaldybės valdymo programa</v>
      </c>
      <c r="C11" s="40">
        <f>'ASIGNAVIMAI IŠ SAVIV.BIUDŽETO'!C62</f>
        <v>0</v>
      </c>
      <c r="D11" s="40" t="e">
        <f>'ASIGNAVIMAI IŠ SAVIV.BIUDŽETO'!#REF!</f>
        <v>#REF!</v>
      </c>
      <c r="E11" s="40" t="e">
        <f>'ASIGNAVIMAI IŠ SAVIV.BIUDŽETO'!#REF!</f>
        <v>#REF!</v>
      </c>
      <c r="F11" s="40" t="e">
        <f>'ASIGNAVIMAI IŠ SAVIV.BIUDŽETO'!#REF!</f>
        <v>#REF!</v>
      </c>
    </row>
    <row r="12" spans="1:6" ht="15.75" x14ac:dyDescent="0.25">
      <c r="A12" s="21" t="s">
        <v>79</v>
      </c>
      <c r="B12" s="129" t="str">
        <f>ASIGNAVIMAI!B23</f>
        <v>Kaišiadorių r. Pravieniškių lopšelio-darželio „Ąžuoliukas“ direktorius</v>
      </c>
      <c r="C12" s="40" t="e">
        <f>'ASIGNAVIMAI IŠ SAVIV.BIUDŽETO'!#REF!</f>
        <v>#REF!</v>
      </c>
      <c r="D12" s="40" t="e">
        <f>'ASIGNAVIMAI IŠ SAVIV.BIUDŽETO'!#REF!</f>
        <v>#REF!</v>
      </c>
      <c r="E12" s="40" t="e">
        <f>'ASIGNAVIMAI IŠ SAVIV.BIUDŽETO'!#REF!</f>
        <v>#REF!</v>
      </c>
      <c r="F12" s="40" t="e">
        <f>'ASIGNAVIMAI IŠ SAVIV.BIUDŽETO'!#REF!</f>
        <v>#REF!</v>
      </c>
    </row>
    <row r="13" spans="1:6" ht="15.75" x14ac:dyDescent="0.25">
      <c r="A13" s="21" t="s">
        <v>80</v>
      </c>
      <c r="B13" s="21" t="str">
        <f>ASIGNAVIMAI!B52</f>
        <v>Palomenės seniūnas</v>
      </c>
      <c r="C13" s="40">
        <f>'ASIGNAVIMAI IŠ SAVIV.BIUDŽETO'!C92</f>
        <v>4842.3339999999998</v>
      </c>
      <c r="D13" s="40" t="e">
        <f>'ASIGNAVIMAI IŠ SAVIV.BIUDŽETO'!#REF!</f>
        <v>#REF!</v>
      </c>
      <c r="E13" s="40" t="e">
        <f>'ASIGNAVIMAI IŠ SAVIV.BIUDŽETO'!#REF!</f>
        <v>#REF!</v>
      </c>
      <c r="F13" s="40" t="e">
        <f>'ASIGNAVIMAI IŠ SAVIV.BIUDŽETO'!#REF!</f>
        <v>#REF!</v>
      </c>
    </row>
    <row r="14" spans="1:6" ht="15.75" x14ac:dyDescent="0.25">
      <c r="A14" s="21" t="s">
        <v>81</v>
      </c>
      <c r="B14" s="129" t="str">
        <f>ASIGNAVIMAI!B64</f>
        <v>Kaišiadorių r. Rumšiškių  lopšelio-darželio direktorius</v>
      </c>
      <c r="C14" s="40" t="e">
        <f>'ASIGNAVIMAI IŠ SAVIV.BIUDŽETO'!#REF!</f>
        <v>#REF!</v>
      </c>
      <c r="D14" s="40" t="e">
        <f>'ASIGNAVIMAI IŠ SAVIV.BIUDŽETO'!#REF!</f>
        <v>#REF!</v>
      </c>
      <c r="E14" s="40" t="e">
        <f>'ASIGNAVIMAI IŠ SAVIV.BIUDŽETO'!#REF!</f>
        <v>#REF!</v>
      </c>
      <c r="F14" s="40" t="e">
        <f>'ASIGNAVIMAI IŠ SAVIV.BIUDŽETO'!#REF!</f>
        <v>#REF!</v>
      </c>
    </row>
    <row r="15" spans="1:6" ht="15.75" x14ac:dyDescent="0.25">
      <c r="A15" s="21" t="s">
        <v>82</v>
      </c>
      <c r="B15" s="21" t="str">
        <f>ASIGNAVIMAI!B82</f>
        <v>Kaišiadorių kultūros centro direktorius</v>
      </c>
      <c r="C15" s="40">
        <f>'ASIGNAVIMAI IŠ SAVIV.BIUDŽETO'!C114</f>
        <v>496.58300000000003</v>
      </c>
      <c r="D15" s="40" t="e">
        <f>'ASIGNAVIMAI IŠ SAVIV.BIUDŽETO'!#REF!</f>
        <v>#REF!</v>
      </c>
      <c r="E15" s="40" t="e">
        <f>'ASIGNAVIMAI IŠ SAVIV.BIUDŽETO'!#REF!</f>
        <v>#REF!</v>
      </c>
      <c r="F15" s="40" t="e">
        <f>'ASIGNAVIMAI IŠ SAVIV.BIUDŽETO'!#REF!</f>
        <v>#REF!</v>
      </c>
    </row>
    <row r="16" spans="1:6" ht="15.75" x14ac:dyDescent="0.25">
      <c r="A16" s="21" t="s">
        <v>83</v>
      </c>
      <c r="B16" s="21" t="str">
        <f>ASIGNAVIMAI!B86</f>
        <v>Žaslių kultūros centro direktorius</v>
      </c>
      <c r="C16" s="40">
        <f>'ASIGNAVIMAI IŠ SAVIV.BIUDŽETO'!C128</f>
        <v>4424.5370000000003</v>
      </c>
      <c r="D16" s="40" t="e">
        <f>'ASIGNAVIMAI IŠ SAVIV.BIUDŽETO'!#REF!</f>
        <v>#REF!</v>
      </c>
      <c r="E16" s="40" t="e">
        <f>'ASIGNAVIMAI IŠ SAVIV.BIUDŽETO'!#REF!</f>
        <v>#REF!</v>
      </c>
      <c r="F16" s="40" t="e">
        <f>'ASIGNAVIMAI IŠ SAVIV.BIUDŽETO'!#REF!</f>
        <v>#REF!</v>
      </c>
    </row>
    <row r="17" spans="1:6" ht="15.75" x14ac:dyDescent="0.25">
      <c r="A17" s="21" t="s">
        <v>84</v>
      </c>
      <c r="B17" s="21" t="str">
        <f>ASIGNAVIMAI!B89</f>
        <v>Sveikatos ir socialinės apsaugos programa</v>
      </c>
      <c r="C17" s="40" t="e">
        <f>'ASIGNAVIMAI IŠ SAVIV.BIUDŽETO'!#REF!</f>
        <v>#REF!</v>
      </c>
      <c r="D17" s="40" t="e">
        <f>'ASIGNAVIMAI IŠ SAVIV.BIUDŽETO'!#REF!</f>
        <v>#REF!</v>
      </c>
      <c r="E17" s="40" t="e">
        <f>'ASIGNAVIMAI IŠ SAVIV.BIUDŽETO'!#REF!</f>
        <v>#REF!</v>
      </c>
      <c r="F17" s="40" t="e">
        <f>'ASIGNAVIMAI IŠ SAVIV.BIUDŽETO'!#REF!</f>
        <v>#REF!</v>
      </c>
    </row>
    <row r="18" spans="1:6" ht="15.75" x14ac:dyDescent="0.25">
      <c r="A18" s="21" t="s">
        <v>85</v>
      </c>
      <c r="B18" s="21" t="str">
        <f>ASIGNAVIMAI!B97</f>
        <v>Kaišiadorių r. Žiežmarių mokyklos-darželio „Vaikystės dvaras“ direktorius</v>
      </c>
      <c r="C18" s="40" t="e">
        <f>'ASIGNAVIMAI IŠ SAVIV.BIUDŽETO'!#REF!</f>
        <v>#REF!</v>
      </c>
      <c r="D18" s="40" t="e">
        <f>'ASIGNAVIMAI IŠ SAVIV.BIUDŽETO'!#REF!</f>
        <v>#REF!</v>
      </c>
      <c r="E18" s="40" t="e">
        <f>'ASIGNAVIMAI IŠ SAVIV.BIUDŽETO'!#REF!</f>
        <v>#REF!</v>
      </c>
      <c r="F18" s="40" t="e">
        <f>'ASIGNAVIMAI IŠ SAVIV.BIUDŽETO'!#REF!</f>
        <v>#REF!</v>
      </c>
    </row>
    <row r="19" spans="1:6" ht="15.75" x14ac:dyDescent="0.25">
      <c r="A19" s="21" t="s">
        <v>86</v>
      </c>
      <c r="B19" s="21" t="str">
        <f>ASIGNAVIMAI!B100</f>
        <v>Kaišiadorių r. Rumšiškių Antano Baranausko gimnazijos direktorius</v>
      </c>
      <c r="C19" s="40" t="e">
        <f>'ASIGNAVIMAI IŠ SAVIV.BIUDŽETO'!#REF!</f>
        <v>#REF!</v>
      </c>
      <c r="D19" s="40" t="e">
        <f>'ASIGNAVIMAI IŠ SAVIV.BIUDŽETO'!#REF!</f>
        <v>#REF!</v>
      </c>
      <c r="E19" s="40" t="e">
        <f>'ASIGNAVIMAI IŠ SAVIV.BIUDŽETO'!#REF!</f>
        <v>#REF!</v>
      </c>
      <c r="F19" s="40" t="e">
        <f>'ASIGNAVIMAI IŠ SAVIV.BIUDŽETO'!#REF!</f>
        <v>#REF!</v>
      </c>
    </row>
    <row r="20" spans="1:6" ht="15.75" x14ac:dyDescent="0.25">
      <c r="A20" s="21" t="s">
        <v>87</v>
      </c>
      <c r="B20" s="21" t="str">
        <f>ASIGNAVIMAI!B105</f>
        <v>Kaišiadorių šventosios Faustinos ugdymo centro direktorius</v>
      </c>
      <c r="C20" s="40" t="e">
        <f>'ASIGNAVIMAI IŠ SAVIV.BIUDŽETO'!#REF!</f>
        <v>#REF!</v>
      </c>
      <c r="D20" s="40" t="e">
        <f>'ASIGNAVIMAI IŠ SAVIV.BIUDŽETO'!#REF!</f>
        <v>#REF!</v>
      </c>
      <c r="E20" s="40" t="e">
        <f>'ASIGNAVIMAI IŠ SAVIV.BIUDŽETO'!#REF!</f>
        <v>#REF!</v>
      </c>
      <c r="F20" s="40" t="e">
        <f>'ASIGNAVIMAI IŠ SAVIV.BIUDŽETO'!#REF!</f>
        <v>#REF!</v>
      </c>
    </row>
    <row r="21" spans="1:6" ht="15.75" x14ac:dyDescent="0.25">
      <c r="A21" s="21" t="s">
        <v>88</v>
      </c>
      <c r="B21" s="21" t="str">
        <f>ASIGNAVIMAI!B109</f>
        <v>Rumšiškių kultūros centro direktorius</v>
      </c>
      <c r="C21" s="40" t="e">
        <f>'ASIGNAVIMAI IŠ SAVIV.BIUDŽETO'!#REF!</f>
        <v>#REF!</v>
      </c>
      <c r="D21" s="40" t="e">
        <f>'ASIGNAVIMAI IŠ SAVIV.BIUDŽETO'!#REF!</f>
        <v>#REF!</v>
      </c>
      <c r="E21" s="40" t="e">
        <f>'ASIGNAVIMAI IŠ SAVIV.BIUDŽETO'!#REF!</f>
        <v>#REF!</v>
      </c>
      <c r="F21" s="40" t="e">
        <f>'ASIGNAVIMAI IŠ SAVIV.BIUDŽETO'!#REF!</f>
        <v>#REF!</v>
      </c>
    </row>
    <row r="22" spans="1:6" ht="15.75" x14ac:dyDescent="0.25">
      <c r="A22" s="21" t="s">
        <v>89</v>
      </c>
      <c r="B22" s="21" t="str">
        <f>ASIGNAVIMAI!B114</f>
        <v>Pravieniškių seniūnas</v>
      </c>
      <c r="C22" s="40" t="e">
        <f>'ASIGNAVIMAI IŠ SAVIV.BIUDŽETO'!#REF!</f>
        <v>#REF!</v>
      </c>
      <c r="D22" s="40" t="e">
        <f>'ASIGNAVIMAI IŠ SAVIV.BIUDŽETO'!#REF!</f>
        <v>#REF!</v>
      </c>
      <c r="E22" s="40" t="e">
        <f>'ASIGNAVIMAI IŠ SAVIV.BIUDŽETO'!#REF!</f>
        <v>#REF!</v>
      </c>
      <c r="F22" s="40" t="e">
        <f>'ASIGNAVIMAI IŠ SAVIV.BIUDŽETO'!#REF!</f>
        <v>#REF!</v>
      </c>
    </row>
    <row r="23" spans="1:6" ht="15.75" x14ac:dyDescent="0.25">
      <c r="A23" s="21" t="s">
        <v>147</v>
      </c>
      <c r="B23" s="23" t="str">
        <f>ASIGNAVIMAI!B125</f>
        <v>Palomenės seniūnas</v>
      </c>
      <c r="C23" s="40" t="e">
        <f>'ASIGNAVIMAI IŠ SAVIV.BIUDŽETO'!#REF!</f>
        <v>#REF!</v>
      </c>
      <c r="D23" s="40" t="e">
        <f>'ASIGNAVIMAI IŠ SAVIV.BIUDŽETO'!#REF!</f>
        <v>#REF!</v>
      </c>
      <c r="E23" s="40" t="e">
        <f>'ASIGNAVIMAI IŠ SAVIV.BIUDŽETO'!#REF!</f>
        <v>#REF!</v>
      </c>
      <c r="F23" s="40" t="e">
        <f>'ASIGNAVIMAI IŠ SAVIV.BIUDŽETO'!#REF!</f>
        <v>#REF!</v>
      </c>
    </row>
    <row r="24" spans="1:6" ht="24.75" customHeight="1" x14ac:dyDescent="0.25">
      <c r="A24" s="327" t="s">
        <v>133</v>
      </c>
      <c r="B24" s="328"/>
      <c r="C24" s="43" t="e">
        <f>SUM(C11:C23)</f>
        <v>#REF!</v>
      </c>
      <c r="D24" s="43" t="e">
        <f t="shared" ref="D24:F24" si="0">SUM(D11:D23)</f>
        <v>#REF!</v>
      </c>
      <c r="E24" s="43" t="e">
        <f t="shared" si="0"/>
        <v>#REF!</v>
      </c>
      <c r="F24" s="43" t="e">
        <f t="shared" si="0"/>
        <v>#REF!</v>
      </c>
    </row>
  </sheetData>
  <mergeCells count="12">
    <mergeCell ref="F9:F10"/>
    <mergeCell ref="A24:B24"/>
    <mergeCell ref="C1:F1"/>
    <mergeCell ref="C2:F2"/>
    <mergeCell ref="C3:F3"/>
    <mergeCell ref="A5:F5"/>
    <mergeCell ref="A6:F6"/>
    <mergeCell ref="A8:A10"/>
    <mergeCell ref="B8:B10"/>
    <mergeCell ref="C8:C10"/>
    <mergeCell ref="D8:F8"/>
    <mergeCell ref="D9:E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49"/>
  <sheetViews>
    <sheetView showZeros="0" topLeftCell="A134" zoomScale="98" zoomScaleNormal="98" workbookViewId="0">
      <selection activeCell="C148" sqref="C148"/>
    </sheetView>
  </sheetViews>
  <sheetFormatPr defaultColWidth="9.140625" defaultRowHeight="32.25" customHeight="1" x14ac:dyDescent="0.25"/>
  <cols>
    <col min="1" max="1" width="5.7109375" style="6" customWidth="1"/>
    <col min="2" max="2" width="54.7109375" style="1" customWidth="1"/>
    <col min="3" max="3" width="35.85546875" style="60" customWidth="1"/>
    <col min="4" max="4" width="9.140625" style="1"/>
    <col min="5" max="5" width="9.140625" style="1" customWidth="1"/>
    <col min="6" max="16384" width="9.140625" style="1"/>
  </cols>
  <sheetData>
    <row r="1" spans="1:3" ht="15.75" customHeight="1" x14ac:dyDescent="0.25">
      <c r="C1" s="2" t="s">
        <v>77</v>
      </c>
    </row>
    <row r="2" spans="1:3" ht="15.75" customHeight="1" x14ac:dyDescent="0.25">
      <c r="C2" s="2" t="s">
        <v>132</v>
      </c>
    </row>
    <row r="3" spans="1:3" ht="15.75" customHeight="1" x14ac:dyDescent="0.25">
      <c r="C3" s="2" t="s">
        <v>476</v>
      </c>
    </row>
    <row r="4" spans="1:3" ht="15.75" customHeight="1" x14ac:dyDescent="0.25">
      <c r="C4" s="2" t="s">
        <v>435</v>
      </c>
    </row>
    <row r="5" spans="1:3" ht="15.75" hidden="1" customHeight="1" x14ac:dyDescent="0.25">
      <c r="C5" s="220" t="s">
        <v>470</v>
      </c>
    </row>
    <row r="6" spans="1:3" ht="15.75" hidden="1" customHeight="1" x14ac:dyDescent="0.25">
      <c r="C6" s="220"/>
    </row>
    <row r="7" spans="1:3" ht="15.75" hidden="1" customHeight="1" x14ac:dyDescent="0.25">
      <c r="C7" s="220"/>
    </row>
    <row r="8" spans="1:3" ht="32.25" customHeight="1" x14ac:dyDescent="0.25">
      <c r="A8" s="221" t="s">
        <v>481</v>
      </c>
      <c r="B8" s="221"/>
      <c r="C8" s="221"/>
    </row>
    <row r="9" spans="1:3" ht="21.75" customHeight="1" x14ac:dyDescent="0.25">
      <c r="A9" s="11"/>
      <c r="B9" s="11"/>
      <c r="C9" s="62" t="s">
        <v>271</v>
      </c>
    </row>
    <row r="10" spans="1:3" ht="32.25" customHeight="1" x14ac:dyDescent="0.25">
      <c r="A10" s="228" t="s">
        <v>231</v>
      </c>
      <c r="B10" s="243" t="s">
        <v>96</v>
      </c>
      <c r="C10" s="245" t="s">
        <v>74</v>
      </c>
    </row>
    <row r="11" spans="1:3" s="70" customFormat="1" ht="32.25" customHeight="1" x14ac:dyDescent="0.25">
      <c r="A11" s="229"/>
      <c r="B11" s="244"/>
      <c r="C11" s="246"/>
    </row>
    <row r="12" spans="1:3" s="70" customFormat="1" ht="24" customHeight="1" x14ac:dyDescent="0.25">
      <c r="A12" s="48" t="s">
        <v>78</v>
      </c>
      <c r="B12" s="242" t="s">
        <v>313</v>
      </c>
      <c r="C12" s="242"/>
    </row>
    <row r="13" spans="1:3" ht="24" customHeight="1" x14ac:dyDescent="0.25">
      <c r="A13" s="23" t="s">
        <v>69</v>
      </c>
      <c r="B13" s="32" t="s">
        <v>113</v>
      </c>
      <c r="C13" s="40">
        <f>'ASIGNAVIMAI IŠ SAVIV.BIUDŽETO'!C15+'ASIGN IŠ DOTACIJŲ'!D24+'ASIGN IŠ DOTACIJŲ'!D23+'ASIGN IŠ DOTACIJŲ'!D22+'ASIGN IŠ DOTACIJŲ'!D21+'ASIGN IŠ DOTACIJŲ'!D20+'ASIGN IŠ DOTACIJŲ'!D19+'ASIGN IŠ DOTACIJŲ'!D18+'ASIGN IŠ DOTACIJŲ'!D17+'ASIGN IŠ DOTACIJŲ'!D16+'ASIGN IŠ DOTACIJŲ'!D15+BKL!C15+'ASIGN IŠ DOTACIJŲ'!D26+'ASIGN IŠ DOTACIJŲ'!D27+'ASIGN IŠ DOTACIJŲ'!D25+'IŠ NEP BĮ PAJAMŲ ĮM'!C17</f>
        <v>6539.324999999998</v>
      </c>
    </row>
    <row r="14" spans="1:3" ht="37.5" customHeight="1" x14ac:dyDescent="0.25">
      <c r="A14" s="23" t="s">
        <v>13</v>
      </c>
      <c r="B14" s="71" t="s">
        <v>309</v>
      </c>
      <c r="C14" s="40">
        <f>'ASIGNAVIMAI IŠ SAVIV.BIUDŽETO'!C16</f>
        <v>943.35199999999998</v>
      </c>
    </row>
    <row r="15" spans="1:3" ht="33.75" customHeight="1" x14ac:dyDescent="0.25">
      <c r="A15" s="23" t="s">
        <v>14</v>
      </c>
      <c r="B15" s="71" t="s">
        <v>325</v>
      </c>
      <c r="C15" s="40">
        <f>'ASIGNAVIMAI IŠ SAVIV.BIUDŽETO'!C17</f>
        <v>103</v>
      </c>
    </row>
    <row r="16" spans="1:3" ht="33.75" customHeight="1" x14ac:dyDescent="0.25">
      <c r="A16" s="23" t="s">
        <v>70</v>
      </c>
      <c r="B16" s="71" t="s">
        <v>0</v>
      </c>
      <c r="C16" s="40">
        <f>'ASIGNAVIMAI IŠ SAVIV.BIUDŽETO'!C18</f>
        <v>713.5</v>
      </c>
    </row>
    <row r="17" spans="1:3" s="70" customFormat="1" ht="24" customHeight="1" x14ac:dyDescent="0.25">
      <c r="A17" s="72" t="s">
        <v>15</v>
      </c>
      <c r="B17" s="32" t="s">
        <v>114</v>
      </c>
      <c r="C17" s="40">
        <f>'ASIGNAVIMAI IŠ SAVIV.BIUDŽETO'!C19+BKL!C16</f>
        <v>135.607</v>
      </c>
    </row>
    <row r="18" spans="1:3" ht="24" customHeight="1" x14ac:dyDescent="0.25">
      <c r="A18" s="23" t="s">
        <v>16</v>
      </c>
      <c r="B18" s="71" t="s">
        <v>1</v>
      </c>
      <c r="C18" s="40">
        <f>'ASIGNAVIMAI IŠ SAVIV.BIUDŽETO'!C20+'ASIGN IŠ DOTACIJŲ'!D28+BKL!C17</f>
        <v>1120.5</v>
      </c>
    </row>
    <row r="19" spans="1:3" ht="24" customHeight="1" x14ac:dyDescent="0.25">
      <c r="A19" s="23" t="s">
        <v>17</v>
      </c>
      <c r="B19" s="73" t="s">
        <v>312</v>
      </c>
      <c r="C19" s="40">
        <f>'ASIGNAVIMAI IŠ SAVIV.BIUDŽETO'!C21+BKL!C18</f>
        <v>1116.346</v>
      </c>
    </row>
    <row r="20" spans="1:3" ht="24" customHeight="1" x14ac:dyDescent="0.25">
      <c r="A20" s="136" t="s">
        <v>18</v>
      </c>
      <c r="B20" s="30" t="s">
        <v>108</v>
      </c>
      <c r="C20" s="40">
        <f>'ASIGNAVIMAI IŠ SAVIV.BIUDŽETO'!C22+'ASIGN IŠ BĮ PAJAMŲ'!C14+'IŠ NEP BĮ PAJAMŲ ĮM'!C18+BKL!C19</f>
        <v>642.6869999999999</v>
      </c>
    </row>
    <row r="21" spans="1:3" ht="24" customHeight="1" x14ac:dyDescent="0.25">
      <c r="A21" s="136" t="s">
        <v>19</v>
      </c>
      <c r="B21" s="30" t="s">
        <v>2</v>
      </c>
      <c r="C21" s="40">
        <f>'ASIGNAVIMAI IŠ SAVIV.BIUDŽETO'!C23+'ASIGN IŠ BĮ PAJAMŲ'!C15+'IŠ NEP BĮ PAJAMŲ ĮM'!C19+BKL!C20</f>
        <v>670.81899999999996</v>
      </c>
    </row>
    <row r="22" spans="1:3" ht="24" customHeight="1" x14ac:dyDescent="0.25">
      <c r="A22" s="136" t="s">
        <v>20</v>
      </c>
      <c r="B22" s="30" t="s">
        <v>9</v>
      </c>
      <c r="C22" s="40">
        <f>'ASIGNAVIMAI IŠ SAVIV.BIUDŽETO'!C24+'ASIGN IŠ BĮ PAJAMŲ'!C16+'IŠ NEP BĮ PAJAMŲ ĮM'!C20+BKL!C21</f>
        <v>321.78899999999999</v>
      </c>
    </row>
    <row r="23" spans="1:3" ht="33.75" customHeight="1" x14ac:dyDescent="0.25">
      <c r="A23" s="136" t="s">
        <v>21</v>
      </c>
      <c r="B23" s="30" t="s">
        <v>124</v>
      </c>
      <c r="C23" s="40">
        <f>'ASIGNAVIMAI IŠ SAVIV.BIUDŽETO'!C25+'ASIGN IŠ BĮ PAJAMŲ'!C17+'IŠ NEP BĮ PAJAMŲ ĮM'!C21+BKL!C22</f>
        <v>307.50799999999998</v>
      </c>
    </row>
    <row r="24" spans="1:3" ht="33.75" customHeight="1" x14ac:dyDescent="0.25">
      <c r="A24" s="136" t="s">
        <v>22</v>
      </c>
      <c r="B24" s="30" t="s">
        <v>75</v>
      </c>
      <c r="C24" s="40">
        <f>'ASIGNAVIMAI IŠ SAVIV.BIUDŽETO'!C26+'ASIGN IŠ BĮ PAJAMŲ'!C18+'IŠ NEP BĮ PAJAMŲ ĮM'!C22+BKL!C23</f>
        <v>510.04599999999999</v>
      </c>
    </row>
    <row r="25" spans="1:3" ht="33.75" customHeight="1" x14ac:dyDescent="0.25">
      <c r="A25" s="136" t="s">
        <v>23</v>
      </c>
      <c r="B25" s="30" t="s">
        <v>155</v>
      </c>
      <c r="C25" s="40">
        <f>'ASIGNAVIMAI IŠ SAVIV.BIUDŽETO'!C27+'ASIGN IŠ BĮ PAJAMŲ'!C19+'IŠ NEP BĮ PAJAMŲ ĮM'!C23+BKL!C24</f>
        <v>719.14300000000003</v>
      </c>
    </row>
    <row r="26" spans="1:3" ht="24" customHeight="1" x14ac:dyDescent="0.25">
      <c r="A26" s="136" t="s">
        <v>109</v>
      </c>
      <c r="B26" s="30" t="s">
        <v>125</v>
      </c>
      <c r="C26" s="40">
        <f>'ASIGNAVIMAI IŠ SAVIV.BIUDŽETO'!C28+'ASIGN IŠ BĮ PAJAMŲ'!C20+'IŠ NEP BĮ PAJAMŲ ĮM'!C24+BKL!C25</f>
        <v>532.15500000000009</v>
      </c>
    </row>
    <row r="27" spans="1:3" ht="24" customHeight="1" x14ac:dyDescent="0.25">
      <c r="A27" s="136" t="s">
        <v>24</v>
      </c>
      <c r="B27" s="30" t="s">
        <v>71</v>
      </c>
      <c r="C27" s="40">
        <f>'ASIGNAVIMAI IŠ SAVIV.BIUDŽETO'!C29+'ASIGN IŠ BĮ PAJAMŲ'!C21+'IŠ NEP BĮ PAJAMŲ ĮM'!C25+BKL!C26</f>
        <v>561.56100000000004</v>
      </c>
    </row>
    <row r="28" spans="1:3" ht="33.75" customHeight="1" x14ac:dyDescent="0.25">
      <c r="A28" s="136" t="s">
        <v>110</v>
      </c>
      <c r="B28" s="30" t="s">
        <v>97</v>
      </c>
      <c r="C28" s="40">
        <f>'ASIGNAVIMAI IŠ SAVIV.BIUDŽETO'!C30+'ASIGN IŠ BĮ PAJAMŲ'!C22+'IŠ NEP BĮ PAJAMŲ ĮM'!C26+BKL!C27</f>
        <v>540.93700000000001</v>
      </c>
    </row>
    <row r="29" spans="1:3" ht="24" customHeight="1" x14ac:dyDescent="0.25">
      <c r="A29" s="136" t="s">
        <v>165</v>
      </c>
      <c r="B29" s="30" t="s">
        <v>293</v>
      </c>
      <c r="C29" s="40">
        <f>'ASIGNAVIMAI IŠ SAVIV.BIUDŽETO'!C31+'ASIGN IŠ BĮ PAJAMŲ'!C23+'IŠ NEP BĮ PAJAMŲ ĮM'!C27+BKL!C28</f>
        <v>442.26300000000003</v>
      </c>
    </row>
    <row r="30" spans="1:3" ht="24" customHeight="1" x14ac:dyDescent="0.25">
      <c r="A30" s="93" t="s">
        <v>315</v>
      </c>
      <c r="B30" s="30" t="s">
        <v>72</v>
      </c>
      <c r="C30" s="40">
        <f>'ASIGNAVIMAI IŠ SAVIV.BIUDŽETO'!C32+'ASIGN IŠ BĮ PAJAMŲ'!C24+'IŠ NEP BĮ PAJAMŲ ĮM'!C28+BKL!C29</f>
        <v>831.29100000000005</v>
      </c>
    </row>
    <row r="31" spans="1:3" ht="24" customHeight="1" x14ac:dyDescent="0.25">
      <c r="A31" s="93" t="s">
        <v>316</v>
      </c>
      <c r="B31" s="30" t="s">
        <v>73</v>
      </c>
      <c r="C31" s="40">
        <f>'ASIGNAVIMAI IŠ SAVIV.BIUDŽETO'!C33+'ASIGN IŠ BĮ PAJAMŲ'!C25+'IŠ NEP BĮ PAJAMŲ ĮM'!C29+BKL!C30</f>
        <v>554.52599999999995</v>
      </c>
    </row>
    <row r="32" spans="1:3" ht="33.75" customHeight="1" x14ac:dyDescent="0.25">
      <c r="A32" s="93" t="s">
        <v>317</v>
      </c>
      <c r="B32" s="30" t="s">
        <v>10</v>
      </c>
      <c r="C32" s="40">
        <f>'ASIGNAVIMAI IŠ SAVIV.BIUDŽETO'!C34+'ASIGN IŠ BĮ PAJAMŲ'!C26+'IŠ NEP BĮ PAJAMŲ ĮM'!C30+BKL!C31</f>
        <v>336.87700000000001</v>
      </c>
    </row>
    <row r="33" spans="1:3" ht="24" customHeight="1" x14ac:dyDescent="0.25">
      <c r="A33" s="93" t="s">
        <v>318</v>
      </c>
      <c r="B33" s="30" t="s">
        <v>246</v>
      </c>
      <c r="C33" s="40">
        <f>'ASIGNAVIMAI IŠ SAVIV.BIUDŽETO'!C35+'ASIGN IŠ BĮ PAJAMŲ'!C27+'IŠ NEP BĮ PAJAMŲ ĮM'!C31+BKL!C32</f>
        <v>97.915999999999997</v>
      </c>
    </row>
    <row r="34" spans="1:3" ht="33.75" customHeight="1" x14ac:dyDescent="0.25">
      <c r="A34" s="93" t="s">
        <v>319</v>
      </c>
      <c r="B34" s="30" t="s">
        <v>327</v>
      </c>
      <c r="C34" s="40">
        <f>'ASIGNAVIMAI IŠ SAVIV.BIUDŽETO'!C36+'ASIGN IŠ BĮ PAJAMŲ'!C28+'IŠ NEP BĮ PAJAMŲ ĮM'!C32+BKL!C33</f>
        <v>107.244</v>
      </c>
    </row>
    <row r="35" spans="1:3" ht="33.75" customHeight="1" x14ac:dyDescent="0.25">
      <c r="A35" s="93" t="s">
        <v>320</v>
      </c>
      <c r="B35" s="82" t="s">
        <v>247</v>
      </c>
      <c r="C35" s="40">
        <f>'ASIGNAVIMAI IŠ SAVIV.BIUDŽETO'!C37+BKL!C34</f>
        <v>77.117999999999995</v>
      </c>
    </row>
    <row r="36" spans="1:3" ht="24" customHeight="1" x14ac:dyDescent="0.25">
      <c r="A36" s="93" t="s">
        <v>321</v>
      </c>
      <c r="B36" s="30" t="s">
        <v>98</v>
      </c>
      <c r="C36" s="40">
        <f>'ASIGNAVIMAI IŠ SAVIV.BIUDŽETO'!C38+'ASIGN IŠ BĮ PAJAMŲ'!C29+'IŠ NEP BĮ PAJAMŲ ĮM'!C33+BKL!C35</f>
        <v>340.87599999999998</v>
      </c>
    </row>
    <row r="37" spans="1:3" ht="24" customHeight="1" x14ac:dyDescent="0.25">
      <c r="A37" s="93" t="s">
        <v>328</v>
      </c>
      <c r="B37" s="30" t="s">
        <v>291</v>
      </c>
      <c r="C37" s="40">
        <f>'ASIGNAVIMAI IŠ SAVIV.BIUDŽETO'!C39+'ASIGN IŠ BĮ PAJAMŲ'!C30+'IŠ NEP BĮ PAJAMŲ ĮM'!C34+BKL!C36</f>
        <v>632.64099999999996</v>
      </c>
    </row>
    <row r="38" spans="1:3" ht="33.75" customHeight="1" x14ac:dyDescent="0.25">
      <c r="A38" s="23" t="s">
        <v>329</v>
      </c>
      <c r="B38" s="30" t="s">
        <v>432</v>
      </c>
      <c r="C38" s="40">
        <f>'ASIGNAVIMAI IŠ SAVIV.BIUDŽETO'!C40+'ASIGN IŠ BĮ PAJAMŲ'!C31+'IŠ NEP BĮ PAJAMŲ ĮM'!C35+BKL!C37</f>
        <v>335.30300000000005</v>
      </c>
    </row>
    <row r="39" spans="1:3" ht="24" customHeight="1" x14ac:dyDescent="0.25">
      <c r="A39" s="23" t="s">
        <v>330</v>
      </c>
      <c r="B39" s="30" t="s">
        <v>337</v>
      </c>
      <c r="C39" s="40">
        <f>'ASIGNAVIMAI IŠ SAVIV.BIUDŽETO'!C41+BKL!C38</f>
        <v>178.64200000000002</v>
      </c>
    </row>
    <row r="40" spans="1:3" ht="24" customHeight="1" x14ac:dyDescent="0.25">
      <c r="A40" s="23" t="s">
        <v>331</v>
      </c>
      <c r="B40" s="27" t="s">
        <v>99</v>
      </c>
      <c r="C40" s="40">
        <f>'ASIGNAVIMAI IŠ SAVIV.BIUDŽETO'!C42+'IŠ NEP BĮ PAJAMŲ ĮM'!C36+BKL!C39+'ASIGN IŠ BĮ PAJAMŲ'!C32</f>
        <v>489.012</v>
      </c>
    </row>
    <row r="41" spans="1:3" ht="24" customHeight="1" x14ac:dyDescent="0.25">
      <c r="A41" s="23" t="s">
        <v>332</v>
      </c>
      <c r="B41" s="36" t="s">
        <v>100</v>
      </c>
      <c r="C41" s="40">
        <f>'ASIGNAVIMAI IŠ SAVIV.BIUDŽETO'!C43+'IŠ NEP BĮ PAJAMŲ ĮM'!C37+BKL!C40+'ASIGN IŠ BĮ PAJAMŲ'!C33</f>
        <v>104.14000000000001</v>
      </c>
    </row>
    <row r="42" spans="1:3" ht="24" customHeight="1" x14ac:dyDescent="0.25">
      <c r="A42" s="23" t="s">
        <v>333</v>
      </c>
      <c r="B42" s="36" t="s">
        <v>101</v>
      </c>
      <c r="C42" s="40">
        <f>'ASIGNAVIMAI IŠ SAVIV.BIUDŽETO'!C44+'IŠ NEP BĮ PAJAMŲ ĮM'!C38+BKL!C41+'ASIGN IŠ BĮ PAJAMŲ'!C34</f>
        <v>92.296999999999997</v>
      </c>
    </row>
    <row r="43" spans="1:3" ht="24" customHeight="1" x14ac:dyDescent="0.25">
      <c r="A43" s="23" t="s">
        <v>334</v>
      </c>
      <c r="B43" s="36" t="s">
        <v>102</v>
      </c>
      <c r="C43" s="40">
        <f>'ASIGNAVIMAI IŠ SAVIV.BIUDŽETO'!C45+'IŠ NEP BĮ PAJAMŲ ĮM'!C39+BKL!C42+'ASIGN IŠ BĮ PAJAMŲ'!C35</f>
        <v>192.07300000000001</v>
      </c>
    </row>
    <row r="44" spans="1:3" ht="24" customHeight="1" x14ac:dyDescent="0.25">
      <c r="A44" s="23" t="s">
        <v>335</v>
      </c>
      <c r="B44" s="36" t="s">
        <v>103</v>
      </c>
      <c r="C44" s="40">
        <f>'ASIGNAVIMAI IŠ SAVIV.BIUDŽETO'!C46+'IŠ NEP BĮ PAJAMŲ ĮM'!C40+BKL!C43+'ASIGN IŠ BĮ PAJAMŲ'!C36</f>
        <v>165.203</v>
      </c>
    </row>
    <row r="45" spans="1:3" ht="24" customHeight="1" x14ac:dyDescent="0.25">
      <c r="A45" s="23" t="s">
        <v>336</v>
      </c>
      <c r="B45" s="174" t="s">
        <v>104</v>
      </c>
      <c r="C45" s="40">
        <f>'ASIGNAVIMAI IŠ SAVIV.BIUDŽETO'!C47+'IŠ NEP BĮ PAJAMŲ ĮM'!C41+BKL!C44+'ASIGN IŠ BĮ PAJAMŲ'!C37</f>
        <v>137.18900000000002</v>
      </c>
    </row>
    <row r="46" spans="1:3" ht="24" customHeight="1" x14ac:dyDescent="0.25">
      <c r="A46" s="23" t="s">
        <v>338</v>
      </c>
      <c r="B46" s="17" t="s">
        <v>105</v>
      </c>
      <c r="C46" s="40">
        <f>'ASIGNAVIMAI IŠ SAVIV.BIUDŽETO'!C48+BKL!C45</f>
        <v>641.58600000000001</v>
      </c>
    </row>
    <row r="47" spans="1:3" ht="33.75" customHeight="1" x14ac:dyDescent="0.25">
      <c r="A47" s="23" t="s">
        <v>349</v>
      </c>
      <c r="B47" s="71" t="s">
        <v>106</v>
      </c>
      <c r="C47" s="40">
        <f>'ASIGNAVIMAI IŠ SAVIV.BIUDŽETO'!C49+BKL!C46</f>
        <v>7.766</v>
      </c>
    </row>
    <row r="48" spans="1:3" ht="24" customHeight="1" x14ac:dyDescent="0.25">
      <c r="A48" s="23" t="s">
        <v>350</v>
      </c>
      <c r="B48" s="30" t="s">
        <v>115</v>
      </c>
      <c r="C48" s="40">
        <f>'ASIGNAVIMAI IŠ SAVIV.BIUDŽETO'!C50+BKL!C47</f>
        <v>20.290999999999997</v>
      </c>
    </row>
    <row r="49" spans="1:3" ht="24" customHeight="1" x14ac:dyDescent="0.25">
      <c r="A49" s="23" t="s">
        <v>351</v>
      </c>
      <c r="B49" s="30" t="s">
        <v>163</v>
      </c>
      <c r="C49" s="40">
        <f>'ASIGNAVIMAI IŠ SAVIV.BIUDŽETO'!C51+BKL!C48</f>
        <v>18.309000000000001</v>
      </c>
    </row>
    <row r="50" spans="1:3" ht="24" customHeight="1" x14ac:dyDescent="0.25">
      <c r="A50" s="23" t="s">
        <v>352</v>
      </c>
      <c r="B50" s="30" t="s">
        <v>116</v>
      </c>
      <c r="C50" s="40">
        <f>'ASIGNAVIMAI IŠ SAVIV.BIUDŽETO'!C52+BKL!C49</f>
        <v>20.928999999999998</v>
      </c>
    </row>
    <row r="51" spans="1:3" ht="24" customHeight="1" x14ac:dyDescent="0.25">
      <c r="A51" s="23" t="s">
        <v>353</v>
      </c>
      <c r="B51" s="30" t="s">
        <v>126</v>
      </c>
      <c r="C51" s="40">
        <f>'ASIGNAVIMAI IŠ SAVIV.BIUDŽETO'!C53+BKL!C50</f>
        <v>15.962</v>
      </c>
    </row>
    <row r="52" spans="1:3" ht="24" customHeight="1" x14ac:dyDescent="0.25">
      <c r="A52" s="23" t="s">
        <v>354</v>
      </c>
      <c r="B52" s="30" t="s">
        <v>119</v>
      </c>
      <c r="C52" s="40">
        <f>'ASIGNAVIMAI IŠ SAVIV.BIUDŽETO'!C54+BKL!C51</f>
        <v>35.235999999999997</v>
      </c>
    </row>
    <row r="53" spans="1:3" ht="24" customHeight="1" x14ac:dyDescent="0.25">
      <c r="A53" s="23" t="s">
        <v>355</v>
      </c>
      <c r="B53" s="30" t="s">
        <v>120</v>
      </c>
      <c r="C53" s="40">
        <f>'ASIGNAVIMAI IŠ SAVIV.BIUDŽETO'!C55+BKL!C52</f>
        <v>16.507999999999999</v>
      </c>
    </row>
    <row r="54" spans="1:3" ht="24" customHeight="1" x14ac:dyDescent="0.25">
      <c r="A54" s="23" t="s">
        <v>356</v>
      </c>
      <c r="B54" s="30" t="s">
        <v>121</v>
      </c>
      <c r="C54" s="40">
        <f>'ASIGNAVIMAI IŠ SAVIV.BIUDŽETO'!C56+BKL!C53+'ASIGN IŠ DOTACIJŲ'!D29</f>
        <v>42.478999999999999</v>
      </c>
    </row>
    <row r="55" spans="1:3" ht="24" customHeight="1" x14ac:dyDescent="0.25">
      <c r="A55" s="23" t="s">
        <v>357</v>
      </c>
      <c r="B55" s="30" t="s">
        <v>122</v>
      </c>
      <c r="C55" s="40">
        <f>'ASIGNAVIMAI IŠ SAVIV.BIUDŽETO'!C57+BKL!C54</f>
        <v>24.411000000000001</v>
      </c>
    </row>
    <row r="56" spans="1:3" ht="24" customHeight="1" x14ac:dyDescent="0.25">
      <c r="A56" s="23" t="s">
        <v>358</v>
      </c>
      <c r="B56" s="30" t="s">
        <v>123</v>
      </c>
      <c r="C56" s="40">
        <f>'ASIGNAVIMAI IŠ SAVIV.BIUDŽETO'!C58+BKL!C55</f>
        <v>30.437999999999999</v>
      </c>
    </row>
    <row r="57" spans="1:3" ht="24" customHeight="1" x14ac:dyDescent="0.25">
      <c r="A57" s="23" t="s">
        <v>359</v>
      </c>
      <c r="B57" s="30" t="s">
        <v>164</v>
      </c>
      <c r="C57" s="40">
        <f>'ASIGNAVIMAI IŠ SAVIV.BIUDŽETO'!C59+BKL!C56</f>
        <v>16.096</v>
      </c>
    </row>
    <row r="58" spans="1:3" ht="24" customHeight="1" x14ac:dyDescent="0.25">
      <c r="A58" s="23" t="s">
        <v>360</v>
      </c>
      <c r="B58" s="30" t="s">
        <v>127</v>
      </c>
      <c r="C58" s="40">
        <f>'ASIGNAVIMAI IŠ SAVIV.BIUDŽETO'!C60+BKL!C57</f>
        <v>24.327000000000002</v>
      </c>
    </row>
    <row r="59" spans="1:3" ht="24" customHeight="1" x14ac:dyDescent="0.25">
      <c r="A59" s="24"/>
      <c r="B59" s="35" t="s">
        <v>74</v>
      </c>
      <c r="C59" s="42">
        <f>SUM(C13:C58)</f>
        <v>21507.223999999998</v>
      </c>
    </row>
    <row r="60" spans="1:3" s="12" customFormat="1" ht="24" customHeight="1" x14ac:dyDescent="0.25">
      <c r="A60" s="29" t="s">
        <v>79</v>
      </c>
      <c r="B60" s="242" t="s">
        <v>326</v>
      </c>
      <c r="C60" s="242"/>
    </row>
    <row r="61" spans="1:3" s="12" customFormat="1" ht="24" customHeight="1" x14ac:dyDescent="0.25">
      <c r="A61" s="23" t="s">
        <v>25</v>
      </c>
      <c r="B61" s="32" t="s">
        <v>113</v>
      </c>
      <c r="C61" s="40">
        <f>'ASIGN UGDYMO REIKMĖMS'!C16+'ASIGNAVIMAI IŠ SAVIV.BIUDŽETO'!C63+'ASIGN IŠ DOTACIJŲ'!D34+'ASIGN IŠ DOTACIJŲ'!D45+'ASIGN IŠ SKOLINTŲ LĖŠŲ'!D16+'ASIGNAV IŠ ES NEP'!D14+ES!D15+ES!D20+ES!D22</f>
        <v>4367.491</v>
      </c>
    </row>
    <row r="62" spans="1:3" s="12" customFormat="1" ht="24" customHeight="1" x14ac:dyDescent="0.25">
      <c r="A62" s="23" t="s">
        <v>26</v>
      </c>
      <c r="B62" s="73" t="s">
        <v>108</v>
      </c>
      <c r="C62" s="40">
        <f>'ASIGN UGDYMO REIKMĖMS'!C18+'ASIGNAVIMAI IŠ SAVIV.BIUDŽETO'!C64+'ASIGN IŠ DOTACIJŲ'!D62+'ASIGN IŠ DOTACIJŲ'!D46</f>
        <v>858.7109999999999</v>
      </c>
    </row>
    <row r="63" spans="1:3" ht="24" customHeight="1" x14ac:dyDescent="0.25">
      <c r="A63" s="23" t="s">
        <v>27</v>
      </c>
      <c r="B63" s="73" t="s">
        <v>2</v>
      </c>
      <c r="C63" s="40">
        <f>'ASIGN UGDYMO REIKMĖMS'!C19+'ASIGNAVIMAI IŠ SAVIV.BIUDŽETO'!C65+'ASIGN IŠ DOTACIJŲ'!D63+'ASIGN IŠ DOTACIJŲ'!D47</f>
        <v>979.34</v>
      </c>
    </row>
    <row r="64" spans="1:3" ht="24" customHeight="1" x14ac:dyDescent="0.25">
      <c r="A64" s="23" t="s">
        <v>28</v>
      </c>
      <c r="B64" s="73" t="s">
        <v>9</v>
      </c>
      <c r="C64" s="40">
        <f>'ASIGN UGDYMO REIKMĖMS'!C20+'ASIGNAVIMAI IŠ SAVIV.BIUDŽETO'!C66+'ASIGN IŠ DOTACIJŲ'!D64+'ASIGN IŠ DOTACIJŲ'!D48</f>
        <v>350.19199999999995</v>
      </c>
    </row>
    <row r="65" spans="1:3" ht="33.75" customHeight="1" x14ac:dyDescent="0.25">
      <c r="A65" s="23" t="s">
        <v>29</v>
      </c>
      <c r="B65" s="73" t="s">
        <v>124</v>
      </c>
      <c r="C65" s="40">
        <f>'ASIGN UGDYMO REIKMĖMS'!C21+'ASIGNAVIMAI IŠ SAVIV.BIUDŽETO'!C67+'ASIGN IŠ DOTACIJŲ'!D65+'ASIGN IŠ DOTACIJŲ'!D49</f>
        <v>332.17800000000005</v>
      </c>
    </row>
    <row r="66" spans="1:3" ht="33.75" customHeight="1" x14ac:dyDescent="0.25">
      <c r="A66" s="23" t="s">
        <v>30</v>
      </c>
      <c r="B66" s="73" t="s">
        <v>75</v>
      </c>
      <c r="C66" s="40">
        <f>'ASIGN UGDYMO REIKMĖMS'!C22+'ASIGNAVIMAI IŠ SAVIV.BIUDŽETO'!C68+'ASIGN IŠ DOTACIJŲ'!D66+'ASIGN IŠ DOTACIJŲ'!D50+ES!D16+ES!D23</f>
        <v>965.14099999999996</v>
      </c>
    </row>
    <row r="67" spans="1:3" ht="33.75" customHeight="1" x14ac:dyDescent="0.25">
      <c r="A67" s="23" t="s">
        <v>31</v>
      </c>
      <c r="B67" s="73" t="s">
        <v>155</v>
      </c>
      <c r="C67" s="40">
        <f>ES!D24+'ASIGN UGDYMO REIKMĖMS'!C23+'ASIGNAVIMAI IŠ SAVIV.BIUDŽETO'!C69+'ASIGN IŠ DOTACIJŲ'!D67</f>
        <v>1015.771</v>
      </c>
    </row>
    <row r="68" spans="1:3" ht="24" customHeight="1" x14ac:dyDescent="0.25">
      <c r="A68" s="23" t="s">
        <v>32</v>
      </c>
      <c r="B68" s="73" t="s">
        <v>125</v>
      </c>
      <c r="C68" s="40">
        <f>'ASIGN UGDYMO REIKMĖMS'!C24+'ASIGNAVIMAI IŠ SAVIV.BIUDŽETO'!C70+'ASIGN IŠ DOTACIJŲ'!D38+'ASIGN IŠ DOTACIJŲ'!D51</f>
        <v>1728.0000000000002</v>
      </c>
    </row>
    <row r="69" spans="1:3" ht="24" customHeight="1" x14ac:dyDescent="0.25">
      <c r="A69" s="23" t="s">
        <v>33</v>
      </c>
      <c r="B69" s="73" t="s">
        <v>71</v>
      </c>
      <c r="C69" s="40">
        <f>'ASIGN UGDYMO REIKMĖMS'!C25+'ASIGNAVIMAI IŠ SAVIV.BIUDŽETO'!C71+'ASIGN IŠ DOTACIJŲ'!D39+'ASIGN IŠ DOTACIJŲ'!D52+'ASIGN IŠ DOTACIJŲ'!D58+BKL!C60+ES!D17</f>
        <v>2091.174</v>
      </c>
    </row>
    <row r="70" spans="1:3" ht="33.75" customHeight="1" x14ac:dyDescent="0.25">
      <c r="A70" s="23" t="s">
        <v>34</v>
      </c>
      <c r="B70" s="73" t="s">
        <v>97</v>
      </c>
      <c r="C70" s="40">
        <f>'ASIGN UGDYMO REIKMĖMS'!C26+'ASIGNAVIMAI IŠ SAVIV.BIUDŽETO'!C72+'ASIGN IŠ DOTACIJŲ'!D68+'ASIGN IŠ DOTACIJŲ'!D40+'ASIGN IŠ DOTACIJŲ'!D53+'ASIGN IŠ DOTACIJŲ'!D59+ES!D25</f>
        <v>2408.9179999999997</v>
      </c>
    </row>
    <row r="71" spans="1:3" ht="24" customHeight="1" x14ac:dyDescent="0.25">
      <c r="A71" s="23" t="s">
        <v>35</v>
      </c>
      <c r="B71" s="73" t="s">
        <v>293</v>
      </c>
      <c r="C71" s="40">
        <f>'ASIGN UGDYMO REIKMĖMS'!C27+'ASIGNAVIMAI IŠ SAVIV.BIUDŽETO'!C73+'ASIGN IŠ DOTACIJŲ'!D69+'ASIGN IŠ DOTACIJŲ'!D54+ES!D18+ES!D26</f>
        <v>1121.4859999999999</v>
      </c>
    </row>
    <row r="72" spans="1:3" ht="24" customHeight="1" x14ac:dyDescent="0.25">
      <c r="A72" s="23" t="s">
        <v>36</v>
      </c>
      <c r="B72" s="73" t="s">
        <v>72</v>
      </c>
      <c r="C72" s="40">
        <f>'ASIGN UGDYMO REIKMĖMS'!C28+'ASIGNAVIMAI IŠ SAVIV.BIUDŽETO'!C74+'ASIGN IŠ DOTACIJŲ'!D41+'ASIGN IŠ DOTACIJŲ'!D70+'ASIGN IŠ DOTACIJŲ'!D55+'ASIGN IŠ DOTACIJŲ'!D60+ES!D19+ES!D27</f>
        <v>3988.2949999999996</v>
      </c>
    </row>
    <row r="73" spans="1:3" ht="24" customHeight="1" x14ac:dyDescent="0.25">
      <c r="A73" s="23" t="s">
        <v>3</v>
      </c>
      <c r="B73" s="30" t="s">
        <v>73</v>
      </c>
      <c r="C73" s="40">
        <f>'ASIGN UGDYMO REIKMĖMS'!C29+'ASIGNAVIMAI IŠ SAVIV.BIUDŽETO'!C75+'ASIGN IŠ DOTACIJŲ'!D71+'ASIGN IŠ DOTACIJŲ'!D61+ES!D28</f>
        <v>1105.402</v>
      </c>
    </row>
    <row r="74" spans="1:3" ht="33.75" customHeight="1" x14ac:dyDescent="0.25">
      <c r="A74" s="23" t="s">
        <v>397</v>
      </c>
      <c r="B74" s="30" t="s">
        <v>10</v>
      </c>
      <c r="C74" s="40">
        <f>'ASIGN UGDYMO REIKMĖMS'!C30+'ASIGNAVIMAI IŠ SAVIV.BIUDŽETO'!C76+'ASIGN IŠ DOTACIJŲ'!D72</f>
        <v>836.55399999999997</v>
      </c>
    </row>
    <row r="75" spans="1:3" ht="24" customHeight="1" x14ac:dyDescent="0.25">
      <c r="A75" s="23" t="s">
        <v>4</v>
      </c>
      <c r="B75" s="30" t="s">
        <v>246</v>
      </c>
      <c r="C75" s="40">
        <f>'ASIGN UGDYMO REIKMĖMS'!C31+'ASIGNAVIMAI IŠ SAVIV.BIUDŽETO'!C77+'ASIGN IŠ DOTACIJŲ'!D32+'ASIGN IŠ DOTACIJŲ'!D42+'ASIGN IŠ BĮ PAJAMŲ'!C41+'ASIGN IŠ DOTACIJŲ'!D57+'IŠ NEP BĮ PAJAMŲ ĮM'!C45</f>
        <v>1287.8219999999999</v>
      </c>
    </row>
    <row r="76" spans="1:3" ht="24" customHeight="1" x14ac:dyDescent="0.25">
      <c r="A76" s="23" t="s">
        <v>5</v>
      </c>
      <c r="B76" s="30" t="s">
        <v>327</v>
      </c>
      <c r="C76" s="40">
        <f>'ASIGN UGDYMO REIKMĖMS'!C32+'ASIGNAVIMAI IŠ SAVIV.BIUDŽETO'!C78+'ASIGN IŠ DOTACIJŲ'!D33+'ASIGN IŠ DOTACIJŲ'!D44+'ASIGN IŠ DOTACIJŲ'!D73+'IŠ NEP BĮ PAJAMŲ ĮM'!C44+'ASIGN IŠ DOTACIJŲ'!D56</f>
        <v>1434.1550000000002</v>
      </c>
    </row>
    <row r="77" spans="1:3" ht="24" customHeight="1" x14ac:dyDescent="0.25">
      <c r="A77" s="23" t="s">
        <v>6</v>
      </c>
      <c r="B77" s="82" t="s">
        <v>247</v>
      </c>
      <c r="C77" s="40">
        <f>'ASIGN UGDYMO REIKMĖMS'!C33+'ASIGNAVIMAI IŠ SAVIV.BIUDŽETO'!C79+'ASIGN IŠ DOTACIJŲ'!D74+ES!D29</f>
        <v>253.006</v>
      </c>
    </row>
    <row r="78" spans="1:3" ht="24" customHeight="1" x14ac:dyDescent="0.25">
      <c r="A78" s="23" t="s">
        <v>159</v>
      </c>
      <c r="B78" s="30" t="s">
        <v>98</v>
      </c>
      <c r="C78" s="40">
        <f>'ASIGNAVIMAI IŠ SAVIV.BIUDŽETO'!C80+'ASIGN IŠ DOTACIJŲ'!D75+'ASIGN IŠ BĮ PAJAMŲ'!C40+'ASIGN UGDYMO REIKMĖMS'!C34+ES!D21</f>
        <v>1053.578</v>
      </c>
    </row>
    <row r="79" spans="1:3" ht="24" customHeight="1" x14ac:dyDescent="0.25">
      <c r="A79" s="23" t="s">
        <v>7</v>
      </c>
      <c r="B79" s="30" t="s">
        <v>291</v>
      </c>
      <c r="C79" s="40">
        <f>'ASIGNAVIMAI IŠ SAVIV.BIUDŽETO'!C81+'ASIGN IŠ DOTACIJŲ'!D36+'ASIGN IŠ DOTACIJŲ'!D43+'ASIGN IŠ DOTACIJŲ'!D76+'ASIGN UGDYMO REIKMĖMS'!C35+'ASIGN IŠ BĮ PAJAMŲ'!C42</f>
        <v>543.3069999999999</v>
      </c>
    </row>
    <row r="80" spans="1:3" ht="33.75" customHeight="1" x14ac:dyDescent="0.25">
      <c r="A80" s="23" t="s">
        <v>8</v>
      </c>
      <c r="B80" s="30" t="s">
        <v>432</v>
      </c>
      <c r="C80" s="40">
        <f>'ASIGNAVIMAI IŠ SAVIV.BIUDŽETO'!C82+'ASIGN IŠ DOTACIJŲ'!D37</f>
        <v>587.07500000000005</v>
      </c>
    </row>
    <row r="81" spans="1:3" ht="24" customHeight="1" x14ac:dyDescent="0.25">
      <c r="A81" s="23" t="s">
        <v>278</v>
      </c>
      <c r="B81" s="30" t="s">
        <v>337</v>
      </c>
      <c r="C81" s="40">
        <f>'ASIGNAVIMAI IŠ SAVIV.BIUDŽETO'!C83</f>
        <v>172.83699999999999</v>
      </c>
    </row>
    <row r="82" spans="1:3" ht="24" customHeight="1" x14ac:dyDescent="0.25">
      <c r="A82" s="23" t="s">
        <v>279</v>
      </c>
      <c r="B82" s="27" t="s">
        <v>99</v>
      </c>
      <c r="C82" s="40">
        <f>'ASIGNAVIMAI IŠ SAVIV.BIUDŽETO'!C84+'ASIGN IŠ DOTACIJŲ'!D35+BKL!C61</f>
        <v>724.84100000000001</v>
      </c>
    </row>
    <row r="83" spans="1:3" ht="24" customHeight="1" x14ac:dyDescent="0.25">
      <c r="A83" s="23" t="s">
        <v>280</v>
      </c>
      <c r="B83" s="36" t="s">
        <v>100</v>
      </c>
      <c r="C83" s="40">
        <f>'ASIGNAVIMAI IŠ SAVIV.BIUDŽETO'!C85</f>
        <v>161.51900000000001</v>
      </c>
    </row>
    <row r="84" spans="1:3" ht="24" customHeight="1" x14ac:dyDescent="0.25">
      <c r="A84" s="23" t="s">
        <v>281</v>
      </c>
      <c r="B84" s="36" t="s">
        <v>101</v>
      </c>
      <c r="C84" s="40">
        <f>'ASIGNAVIMAI IŠ SAVIV.BIUDŽETO'!C86</f>
        <v>103.143</v>
      </c>
    </row>
    <row r="85" spans="1:3" ht="24" customHeight="1" x14ac:dyDescent="0.25">
      <c r="A85" s="23" t="s">
        <v>282</v>
      </c>
      <c r="B85" s="36" t="s">
        <v>102</v>
      </c>
      <c r="C85" s="40">
        <f>'ASIGNAVIMAI IŠ SAVIV.BIUDŽETO'!C87</f>
        <v>188.24600000000001</v>
      </c>
    </row>
    <row r="86" spans="1:3" ht="24" customHeight="1" x14ac:dyDescent="0.25">
      <c r="A86" s="23" t="s">
        <v>283</v>
      </c>
      <c r="B86" s="36" t="s">
        <v>103</v>
      </c>
      <c r="C86" s="40">
        <f>'ASIGNAVIMAI IŠ SAVIV.BIUDŽETO'!C88</f>
        <v>135.78399999999999</v>
      </c>
    </row>
    <row r="87" spans="1:3" ht="24" customHeight="1" x14ac:dyDescent="0.25">
      <c r="A87" s="23" t="s">
        <v>289</v>
      </c>
      <c r="B87" s="36" t="s">
        <v>104</v>
      </c>
      <c r="C87" s="40">
        <f>'ASIGNAVIMAI IŠ SAVIV.BIUDŽETO'!C89+ES!D30</f>
        <v>506.82600000000002</v>
      </c>
    </row>
    <row r="88" spans="1:3" ht="30" customHeight="1" x14ac:dyDescent="0.25">
      <c r="A88" s="24"/>
      <c r="B88" s="74" t="s">
        <v>74</v>
      </c>
      <c r="C88" s="42">
        <f>SUM(C61:C87)</f>
        <v>29300.791999999998</v>
      </c>
    </row>
    <row r="89" spans="1:3" ht="24" customHeight="1" x14ac:dyDescent="0.25">
      <c r="A89" s="29" t="s">
        <v>80</v>
      </c>
      <c r="B89" s="242" t="s">
        <v>314</v>
      </c>
      <c r="C89" s="242"/>
    </row>
    <row r="90" spans="1:3" s="12" customFormat="1" ht="24" customHeight="1" x14ac:dyDescent="0.25">
      <c r="A90" s="23" t="s">
        <v>37</v>
      </c>
      <c r="B90" s="75" t="s">
        <v>113</v>
      </c>
      <c r="C90" s="40">
        <f>'ASIGNAVIMAI IŠ SAVIV.BIUDŽETO'!C92+'ASIGN IŠ DOTACIJŲ'!D79+'ASIGN IŠ DOTACIJŲ'!D80+'ASIGN IŠ DOTACIJŲ'!D96+'ASIGN IŠ DOTACIJŲ'!D100+'ASIGN IŠ DOTACIJŲ'!D101+'ASIGN IŠ DOTACIJŲ'!D104+'ASIGN IŠ DOTACIJŲ'!D107+'ASIGN IŠ DOTACIJŲ'!D109+'ASIGN IŠ DOTACIJŲ'!D110+'ASIGN IŠ DOTACIJŲ'!D115+'ASIGN IŠ DOTACIJŲ'!D116+'ASIGN SPEC PROGRAMOMS'!C15+'ASIGN IŠ NEP TIKSL PASK L'!C18+BKL!C64+'ASIGN IŠ DOTACIJŲ'!D111+'ASIGN IŠ DOTACIJŲ'!D117+'ASIGN IŠ DOTACIJŲ'!D118+'ASIGN IŠ DOTACIJŲ'!D119+'ASIGN IŠ SKOLINTŲ LĖŠŲ'!D19+'ASIGNAV IŠ ES NEP'!D22+ES!D33+ES!D34+ES!D36+ES!D37+ES!D38</f>
        <v>9428.2804699999997</v>
      </c>
    </row>
    <row r="91" spans="1:3" s="12" customFormat="1" ht="24" customHeight="1" x14ac:dyDescent="0.25">
      <c r="A91" s="23" t="s">
        <v>38</v>
      </c>
      <c r="B91" s="75" t="s">
        <v>105</v>
      </c>
      <c r="C91" s="40">
        <f>'ASIGNAVIMAI IŠ SAVIV.BIUDŽETO'!C93+'ASIGN IŠ DOTACIJŲ'!D98+'ASIGN IŠ DOTACIJŲ'!D102+'ASIGN IŠ DOTACIJŲ'!D103+'ASIGN IŠ DOTACIJŲ'!D105+'ASIGN IŠ DOTACIJŲ'!D106+'ASIGN IŠ DOTACIJŲ'!D108+'ASIGN IŠ BĮ PAJAMŲ'!C45+'IŠ NEP BĮ PAJAMŲ ĮM'!C48+BKL!C70+'ASIGN IŠ DOTACIJŲ'!D120</f>
        <v>4008.0950000000003</v>
      </c>
    </row>
    <row r="92" spans="1:3" s="12" customFormat="1" ht="24" customHeight="1" x14ac:dyDescent="0.25">
      <c r="A92" s="23" t="s">
        <v>39</v>
      </c>
      <c r="B92" s="73" t="s">
        <v>108</v>
      </c>
      <c r="C92" s="40">
        <f>'ASIGN IŠ DOTACIJŲ'!D81</f>
        <v>16.047000000000001</v>
      </c>
    </row>
    <row r="93" spans="1:3" s="12" customFormat="1" ht="24" customHeight="1" x14ac:dyDescent="0.25">
      <c r="A93" s="23" t="s">
        <v>40</v>
      </c>
      <c r="B93" s="73" t="s">
        <v>2</v>
      </c>
      <c r="C93" s="40">
        <f>'ASIGN IŠ DOTACIJŲ'!D82</f>
        <v>11.547000000000001</v>
      </c>
    </row>
    <row r="94" spans="1:3" s="12" customFormat="1" ht="24" customHeight="1" x14ac:dyDescent="0.25">
      <c r="A94" s="23" t="s">
        <v>41</v>
      </c>
      <c r="B94" s="73" t="s">
        <v>9</v>
      </c>
      <c r="C94" s="40">
        <f>'ASIGN IŠ DOTACIJŲ'!D83</f>
        <v>8.8469999999999995</v>
      </c>
    </row>
    <row r="95" spans="1:3" s="12" customFormat="1" ht="33.75" customHeight="1" x14ac:dyDescent="0.25">
      <c r="A95" s="23" t="s">
        <v>42</v>
      </c>
      <c r="B95" s="73" t="s">
        <v>124</v>
      </c>
      <c r="C95" s="40">
        <f>'ASIGN IŠ DOTACIJŲ'!D84</f>
        <v>9.0470000000000006</v>
      </c>
    </row>
    <row r="96" spans="1:3" s="12" customFormat="1" ht="33.75" customHeight="1" x14ac:dyDescent="0.25">
      <c r="A96" s="23" t="s">
        <v>43</v>
      </c>
      <c r="B96" s="73" t="s">
        <v>75</v>
      </c>
      <c r="C96" s="40">
        <f>'ASIGN IŠ DOTACIJŲ'!D85</f>
        <v>38.222000000000001</v>
      </c>
    </row>
    <row r="97" spans="1:3" ht="33.75" customHeight="1" x14ac:dyDescent="0.25">
      <c r="A97" s="23" t="s">
        <v>44</v>
      </c>
      <c r="B97" s="73" t="s">
        <v>155</v>
      </c>
      <c r="C97" s="40">
        <f>'ASIGN IŠ DOTACIJŲ'!D86</f>
        <v>43.122</v>
      </c>
    </row>
    <row r="98" spans="1:3" ht="24" customHeight="1" x14ac:dyDescent="0.25">
      <c r="A98" s="23" t="s">
        <v>92</v>
      </c>
      <c r="B98" s="73" t="s">
        <v>125</v>
      </c>
      <c r="C98" s="40">
        <f>'ASIGNAVIMAI IŠ SAVIV.BIUDŽETO'!C94+'ASIGN IŠ DOTACIJŲ'!D87+BKL!C65</f>
        <v>19.984999999999999</v>
      </c>
    </row>
    <row r="99" spans="1:3" ht="24" customHeight="1" x14ac:dyDescent="0.25">
      <c r="A99" s="23" t="s">
        <v>290</v>
      </c>
      <c r="B99" s="73" t="s">
        <v>71</v>
      </c>
      <c r="C99" s="40">
        <f>'ASIGNAVIMAI IŠ SAVIV.BIUDŽETO'!C95+'ASIGN IŠ DOTACIJŲ'!D88</f>
        <v>77.558999999999997</v>
      </c>
    </row>
    <row r="100" spans="1:3" ht="33.75" customHeight="1" x14ac:dyDescent="0.25">
      <c r="A100" s="23" t="s">
        <v>339</v>
      </c>
      <c r="B100" s="73" t="s">
        <v>97</v>
      </c>
      <c r="C100" s="40">
        <f>'ASIGNAVIMAI IŠ SAVIV.BIUDŽETO'!C96+'ASIGN IŠ DOTACIJŲ'!D89+BKL!C66</f>
        <v>107.96299999999999</v>
      </c>
    </row>
    <row r="101" spans="1:3" ht="24" customHeight="1" x14ac:dyDescent="0.25">
      <c r="A101" s="23" t="s">
        <v>340</v>
      </c>
      <c r="B101" s="179" t="s">
        <v>293</v>
      </c>
      <c r="C101" s="40">
        <f>'ASIGN IŠ DOTACIJŲ'!D90+'ASIGNAVIMAI IŠ SAVIV.BIUDŽETO'!C97</f>
        <v>51.247</v>
      </c>
    </row>
    <row r="102" spans="1:3" ht="24" customHeight="1" x14ac:dyDescent="0.25">
      <c r="A102" s="23" t="s">
        <v>341</v>
      </c>
      <c r="B102" s="73" t="s">
        <v>72</v>
      </c>
      <c r="C102" s="40">
        <f>'ASIGNAVIMAI IŠ SAVIV.BIUDŽETO'!C98+'ASIGN IŠ DOTACIJŲ'!D91+BKL!C67</f>
        <v>256.38499999999999</v>
      </c>
    </row>
    <row r="103" spans="1:3" ht="24" customHeight="1" x14ac:dyDescent="0.25">
      <c r="A103" s="23" t="s">
        <v>342</v>
      </c>
      <c r="B103" s="30" t="s">
        <v>73</v>
      </c>
      <c r="C103" s="40">
        <f>'ASIGNAVIMAI IŠ SAVIV.BIUDŽETO'!C99+'ASIGN IŠ DOTACIJŲ'!D92+BKL!C68</f>
        <v>49.066000000000003</v>
      </c>
    </row>
    <row r="104" spans="1:3" ht="24" customHeight="1" x14ac:dyDescent="0.25">
      <c r="A104" s="23" t="s">
        <v>343</v>
      </c>
      <c r="B104" s="30" t="s">
        <v>10</v>
      </c>
      <c r="C104" s="40">
        <f>'ASIGNAVIMAI IŠ SAVIV.BIUDŽETO'!C100+'ASIGN IŠ DOTACIJŲ'!D93</f>
        <v>42.622</v>
      </c>
    </row>
    <row r="105" spans="1:3" ht="24" customHeight="1" x14ac:dyDescent="0.25">
      <c r="A105" s="23" t="s">
        <v>344</v>
      </c>
      <c r="B105" s="30" t="s">
        <v>327</v>
      </c>
      <c r="C105" s="40">
        <f>'ASIGNAVIMAI IŠ SAVIV.BIUDŽETO'!C101+'ASIGN IŠ DOTACIJŲ'!D112+'ASIGN IŠ DOTACIJŲ'!D97+'ASIGN IŠ DOTACIJŲ'!D94+'ASIGN IŠ BĮ PAJAMŲ'!C46+'IŠ NEP BĮ PAJAMŲ ĮM'!C49+BKL!C69</f>
        <v>737.77599999999995</v>
      </c>
    </row>
    <row r="106" spans="1:3" ht="30" customHeight="1" x14ac:dyDescent="0.25">
      <c r="A106" s="23" t="s">
        <v>345</v>
      </c>
      <c r="B106" s="82" t="s">
        <v>247</v>
      </c>
      <c r="C106" s="40">
        <f>'ASIGNAVIMAI IŠ SAVIV.BIUDŽETO'!C102+ES!D35</f>
        <v>109.923</v>
      </c>
    </row>
    <row r="107" spans="1:3" ht="33.75" customHeight="1" x14ac:dyDescent="0.25">
      <c r="A107" s="23" t="s">
        <v>346</v>
      </c>
      <c r="B107" s="71" t="s">
        <v>106</v>
      </c>
      <c r="C107" s="40">
        <f>'ASIGNAVIMAI IŠ SAVIV.BIUDŽETO'!C103+'ASIGN IŠ DOTACIJŲ'!D113+'ASIGN IŠ DOTACIJŲ'!D114+'ASIGN IŠ BĮ PAJAMŲ'!C47+'IŠ NEP BĮ PAJAMŲ ĮM'!C50</f>
        <v>411.339</v>
      </c>
    </row>
    <row r="108" spans="1:3" ht="24" customHeight="1" x14ac:dyDescent="0.25">
      <c r="A108" s="23" t="s">
        <v>347</v>
      </c>
      <c r="B108" s="30" t="s">
        <v>291</v>
      </c>
      <c r="C108" s="40">
        <f>'ASIGNAVIMAI IŠ SAVIV.BIUDŽETO'!C104</f>
        <v>41.800000000000004</v>
      </c>
    </row>
    <row r="109" spans="1:3" ht="24" customHeight="1" x14ac:dyDescent="0.25">
      <c r="A109" s="23" t="s">
        <v>348</v>
      </c>
      <c r="B109" s="36" t="s">
        <v>102</v>
      </c>
      <c r="C109" s="40">
        <f>'ASIGNAVIMAI IŠ SAVIV.BIUDŽETO'!C105</f>
        <v>10.478999999999999</v>
      </c>
    </row>
    <row r="110" spans="1:3" ht="24" customHeight="1" x14ac:dyDescent="0.25">
      <c r="A110" s="23" t="s">
        <v>362</v>
      </c>
      <c r="B110" s="30" t="s">
        <v>115</v>
      </c>
      <c r="C110" s="40">
        <f>'ASIGN IŠ BĮ PAJAMŲ'!C48+'IŠ NEP BĮ PAJAMŲ ĮM'!C51+'ASIGNAVIMAI IŠ SAVIV.BIUDŽETO'!C106</f>
        <v>94.076999999999998</v>
      </c>
    </row>
    <row r="111" spans="1:3" ht="24" customHeight="1" x14ac:dyDescent="0.25">
      <c r="A111" s="23" t="s">
        <v>363</v>
      </c>
      <c r="B111" s="30" t="s">
        <v>163</v>
      </c>
      <c r="C111" s="40">
        <f>'ASIGN IŠ BĮ PAJAMŲ'!C49+'IŠ NEP BĮ PAJAMŲ ĮM'!C52+'ASIGNAVIMAI IŠ SAVIV.BIUDŽETO'!C107</f>
        <v>75.409000000000006</v>
      </c>
    </row>
    <row r="112" spans="1:3" ht="24" customHeight="1" x14ac:dyDescent="0.25">
      <c r="A112" s="23" t="s">
        <v>364</v>
      </c>
      <c r="B112" s="30" t="s">
        <v>116</v>
      </c>
      <c r="C112" s="40">
        <f>'ASIGNAVIMAI IŠ SAVIV.BIUDŽETO'!C108+'ASIGN IŠ BĮ PAJAMŲ'!C50+'IŠ NEP BĮ PAJAMŲ ĮM'!C53</f>
        <v>27.279</v>
      </c>
    </row>
    <row r="113" spans="1:3" ht="24" customHeight="1" x14ac:dyDescent="0.25">
      <c r="A113" s="23" t="s">
        <v>384</v>
      </c>
      <c r="B113" s="30" t="s">
        <v>119</v>
      </c>
      <c r="C113" s="40">
        <f>'ASIGN IŠ BĮ PAJAMŲ'!C51+'IŠ NEP BĮ PAJAMŲ ĮM'!C54</f>
        <v>1.8159999999999998</v>
      </c>
    </row>
    <row r="114" spans="1:3" ht="24" customHeight="1" x14ac:dyDescent="0.25">
      <c r="A114" s="23" t="s">
        <v>385</v>
      </c>
      <c r="B114" s="30" t="s">
        <v>121</v>
      </c>
      <c r="C114" s="40">
        <f>'ASIGNAVIMAI IŠ SAVIV.BIUDŽETO'!C109+'ASIGN IŠ BĮ PAJAMŲ'!C52+'IŠ NEP BĮ PAJAMŲ ĮM'!C55</f>
        <v>16.533000000000001</v>
      </c>
    </row>
    <row r="115" spans="1:3" ht="24" customHeight="1" x14ac:dyDescent="0.25">
      <c r="A115" s="23" t="s">
        <v>386</v>
      </c>
      <c r="B115" s="30" t="s">
        <v>123</v>
      </c>
      <c r="C115" s="40">
        <f>'ASIGN IŠ BĮ PAJAMŲ'!C53+'IŠ NEP BĮ PAJAMŲ ĮM'!C56+'ASIGNAVIMAI IŠ SAVIV.BIUDŽETO'!C110</f>
        <v>7.6270000000000007</v>
      </c>
    </row>
    <row r="116" spans="1:3" ht="24" customHeight="1" x14ac:dyDescent="0.25">
      <c r="A116" s="23" t="s">
        <v>387</v>
      </c>
      <c r="B116" s="30" t="s">
        <v>164</v>
      </c>
      <c r="C116" s="40">
        <f>'ASIGN IŠ BĮ PAJAMŲ'!C54+'IŠ NEP BĮ PAJAMŲ ĮM'!C57</f>
        <v>6.0220000000000002</v>
      </c>
    </row>
    <row r="117" spans="1:3" ht="24" customHeight="1" x14ac:dyDescent="0.25">
      <c r="A117" s="23" t="s">
        <v>490</v>
      </c>
      <c r="B117" s="30" t="s">
        <v>127</v>
      </c>
      <c r="C117" s="40">
        <f>'ASIGN IŠ BĮ PAJAMŲ'!C55+'IŠ NEP BĮ PAJAMŲ ĮM'!C58+'ASIGNAVIMAI IŠ SAVIV.BIUDŽETO'!C111</f>
        <v>44.686999999999998</v>
      </c>
    </row>
    <row r="118" spans="1:3" ht="24" customHeight="1" x14ac:dyDescent="0.25">
      <c r="A118" s="24"/>
      <c r="B118" s="35" t="s">
        <v>74</v>
      </c>
      <c r="C118" s="42">
        <f>SUM(C90:C117)</f>
        <v>15752.801469999999</v>
      </c>
    </row>
    <row r="119" spans="1:3" s="12" customFormat="1" ht="21.75" customHeight="1" x14ac:dyDescent="0.25">
      <c r="A119" s="29" t="s">
        <v>81</v>
      </c>
      <c r="B119" s="247" t="s">
        <v>361</v>
      </c>
      <c r="C119" s="248"/>
    </row>
    <row r="120" spans="1:3" s="12" customFormat="1" ht="21.75" customHeight="1" x14ac:dyDescent="0.25">
      <c r="A120" s="23" t="s">
        <v>45</v>
      </c>
      <c r="B120" s="32" t="s">
        <v>113</v>
      </c>
      <c r="C120" s="40">
        <f>'ASIGNAVIMAI IŠ SAVIV.BIUDŽETO'!C114+'ASIGN IŠ DOTACIJŲ'!D128+'ASIGN SPEC PROGRAMOMS'!C19+'ASIGN IŠ NEP TIKSL PASK L'!C22+'ASIGN IŠ SKOLINTŲ LĖŠŲ'!D22+ES!D41+ES!D42</f>
        <v>2038.0900000000001</v>
      </c>
    </row>
    <row r="121" spans="1:3" s="12" customFormat="1" ht="21.75" customHeight="1" x14ac:dyDescent="0.25">
      <c r="A121" s="23" t="s">
        <v>46</v>
      </c>
      <c r="B121" s="30" t="s">
        <v>115</v>
      </c>
      <c r="C121" s="40">
        <f>'ASIGNAVIMAI IŠ SAVIV.BIUDŽETO'!C115+BKL!C73</f>
        <v>583.32599999999991</v>
      </c>
    </row>
    <row r="122" spans="1:3" s="12" customFormat="1" ht="21.75" customHeight="1" x14ac:dyDescent="0.25">
      <c r="A122" s="23" t="s">
        <v>47</v>
      </c>
      <c r="B122" s="30" t="s">
        <v>163</v>
      </c>
      <c r="C122" s="40">
        <f>'ASIGNAVIMAI IŠ SAVIV.BIUDŽETO'!C116+BKL!C74</f>
        <v>85.917000000000002</v>
      </c>
    </row>
    <row r="123" spans="1:3" s="12" customFormat="1" ht="21.75" customHeight="1" x14ac:dyDescent="0.25">
      <c r="A123" s="23" t="s">
        <v>48</v>
      </c>
      <c r="B123" s="30" t="s">
        <v>116</v>
      </c>
      <c r="C123" s="40">
        <f>BKL!C75+'ASIGNAVIMAI IŠ SAVIV.BIUDŽETO'!C117</f>
        <v>113.119</v>
      </c>
    </row>
    <row r="124" spans="1:3" s="12" customFormat="1" ht="21.75" customHeight="1" x14ac:dyDescent="0.25">
      <c r="A124" s="23" t="s">
        <v>93</v>
      </c>
      <c r="B124" s="30" t="s">
        <v>126</v>
      </c>
      <c r="C124" s="40">
        <f>'ASIGNAVIMAI IŠ SAVIV.BIUDŽETO'!C118</f>
        <v>38.07</v>
      </c>
    </row>
    <row r="125" spans="1:3" s="12" customFormat="1" ht="21.75" customHeight="1" x14ac:dyDescent="0.25">
      <c r="A125" s="23" t="s">
        <v>94</v>
      </c>
      <c r="B125" s="30" t="s">
        <v>119</v>
      </c>
      <c r="C125" s="40">
        <f>BKL!C76+'ASIGNAVIMAI IŠ SAVIV.BIUDŽETO'!C119</f>
        <v>62.811</v>
      </c>
    </row>
    <row r="126" spans="1:3" s="12" customFormat="1" ht="21.75" customHeight="1" x14ac:dyDescent="0.25">
      <c r="A126" s="23" t="s">
        <v>95</v>
      </c>
      <c r="B126" s="30" t="s">
        <v>120</v>
      </c>
      <c r="C126" s="40">
        <f>BKL!C77+'ASIGNAVIMAI IŠ SAVIV.BIUDŽETO'!C120</f>
        <v>32.46</v>
      </c>
    </row>
    <row r="127" spans="1:3" s="12" customFormat="1" ht="21.75" customHeight="1" x14ac:dyDescent="0.25">
      <c r="A127" s="23" t="s">
        <v>52</v>
      </c>
      <c r="B127" s="30" t="s">
        <v>121</v>
      </c>
      <c r="C127" s="40">
        <f>BKL!C78+'ASIGNAVIMAI IŠ SAVIV.BIUDŽETO'!C121</f>
        <v>39.363999999999997</v>
      </c>
    </row>
    <row r="128" spans="1:3" s="12" customFormat="1" ht="21.75" customHeight="1" x14ac:dyDescent="0.25">
      <c r="A128" s="23" t="s">
        <v>53</v>
      </c>
      <c r="B128" s="30" t="s">
        <v>122</v>
      </c>
      <c r="C128" s="40">
        <f>'ASIGNAVIMAI IŠ SAVIV.BIUDŽETO'!C122+BKL!C79</f>
        <v>123.867</v>
      </c>
    </row>
    <row r="129" spans="1:3" s="12" customFormat="1" ht="21.75" customHeight="1" x14ac:dyDescent="0.25">
      <c r="A129" s="23" t="s">
        <v>54</v>
      </c>
      <c r="B129" s="30" t="s">
        <v>123</v>
      </c>
      <c r="C129" s="40">
        <f>'ASIGNAVIMAI IŠ SAVIV.BIUDŽETO'!C123</f>
        <v>83.5</v>
      </c>
    </row>
    <row r="130" spans="1:3" s="12" customFormat="1" ht="21.75" customHeight="1" x14ac:dyDescent="0.25">
      <c r="A130" s="23" t="s">
        <v>55</v>
      </c>
      <c r="B130" s="30" t="s">
        <v>164</v>
      </c>
      <c r="C130" s="40">
        <f>BKL!C80+'ASIGNAVIMAI IŠ SAVIV.BIUDŽETO'!C124</f>
        <v>83.24799999999999</v>
      </c>
    </row>
    <row r="131" spans="1:3" s="12" customFormat="1" ht="21.75" customHeight="1" x14ac:dyDescent="0.25">
      <c r="A131" s="23" t="s">
        <v>56</v>
      </c>
      <c r="B131" s="30" t="s">
        <v>127</v>
      </c>
      <c r="C131" s="40">
        <f>'ASIGNAVIMAI IŠ SAVIV.BIUDŽETO'!C125+BKL!C81</f>
        <v>68.358999999999995</v>
      </c>
    </row>
    <row r="132" spans="1:3" s="12" customFormat="1" ht="18" customHeight="1" x14ac:dyDescent="0.25">
      <c r="A132" s="61"/>
      <c r="B132" s="35" t="s">
        <v>74</v>
      </c>
      <c r="C132" s="42">
        <f>SUM(C120:C131)</f>
        <v>3352.1310000000008</v>
      </c>
    </row>
    <row r="133" spans="1:3" ht="24" customHeight="1" x14ac:dyDescent="0.25">
      <c r="A133" s="29" t="s">
        <v>365</v>
      </c>
      <c r="B133" s="247" t="s">
        <v>323</v>
      </c>
      <c r="C133" s="248"/>
    </row>
    <row r="134" spans="1:3" ht="24" customHeight="1" x14ac:dyDescent="0.25">
      <c r="A134" s="23" t="s">
        <v>49</v>
      </c>
      <c r="B134" s="32" t="s">
        <v>113</v>
      </c>
      <c r="C134" s="40">
        <f>'ASIGNAVIMAI IŠ SAVIV.BIUDŽETO'!C128+'ASIGN IŠ DOTACIJŲ'!D130+'ASIGN IŠ DOTACIJŲ'!D131+'ASIGN IŠ DOTACIJŲ'!D132+'ASIGN IŠ BĮ PAJAMŲ'!C58+'ASIGN SPEC PROGRAMOMS'!C22+'ASIGN IŠ NEP TIKSL PASK L'!C25+'IŠ NEP BĮ PAJAMŲ ĮM'!C62+BKL!C84+'ASIGN IŠ DOTACIJŲ'!D133+'ASIGN IŠ SKOLINTŲ LĖŠŲ'!D28+'ASIGN IŠ NEP TIKSL PASK L'!C24+ES!D45+ES!D46+ES!D47</f>
        <v>17971.608</v>
      </c>
    </row>
    <row r="135" spans="1:3" ht="24" customHeight="1" x14ac:dyDescent="0.25">
      <c r="A135" s="23" t="s">
        <v>66</v>
      </c>
      <c r="B135" s="32" t="s">
        <v>102</v>
      </c>
      <c r="C135" s="40">
        <f>'ASIGNAVIMAI IŠ SAVIV.BIUDŽETO'!C129</f>
        <v>3.05</v>
      </c>
    </row>
    <row r="136" spans="1:3" ht="24" customHeight="1" x14ac:dyDescent="0.25">
      <c r="A136" s="23" t="s">
        <v>67</v>
      </c>
      <c r="B136" s="30" t="s">
        <v>115</v>
      </c>
      <c r="C136" s="40">
        <f>'ASIGNAVIMAI IŠ SAVIV.BIUDŽETO'!C130+BKL!C85</f>
        <v>570.54200000000003</v>
      </c>
    </row>
    <row r="137" spans="1:3" ht="24" customHeight="1" x14ac:dyDescent="0.25">
      <c r="A137" s="23" t="s">
        <v>366</v>
      </c>
      <c r="B137" s="30" t="s">
        <v>163</v>
      </c>
      <c r="C137" s="40">
        <f>'ASIGNAVIMAI IŠ SAVIV.BIUDŽETO'!C131+BKL!C86</f>
        <v>154.61500000000001</v>
      </c>
    </row>
    <row r="138" spans="1:3" ht="24" customHeight="1" x14ac:dyDescent="0.25">
      <c r="A138" s="23" t="s">
        <v>367</v>
      </c>
      <c r="B138" s="30" t="s">
        <v>116</v>
      </c>
      <c r="C138" s="40">
        <f>BKL!C87+'ASIGNAVIMAI IŠ SAVIV.BIUDŽETO'!C132</f>
        <v>196.916</v>
      </c>
    </row>
    <row r="139" spans="1:3" ht="24" customHeight="1" x14ac:dyDescent="0.25">
      <c r="A139" s="23" t="s">
        <v>368</v>
      </c>
      <c r="B139" s="30" t="s">
        <v>126</v>
      </c>
      <c r="C139" s="40">
        <f>'ASIGNAVIMAI IŠ SAVIV.BIUDŽETO'!C133+BKL!C88</f>
        <v>170.27</v>
      </c>
    </row>
    <row r="140" spans="1:3" ht="24" customHeight="1" x14ac:dyDescent="0.25">
      <c r="A140" s="23" t="s">
        <v>369</v>
      </c>
      <c r="B140" s="30" t="s">
        <v>119</v>
      </c>
      <c r="C140" s="40">
        <f>'ASIGNAVIMAI IŠ SAVIV.BIUDŽETO'!C134+BKL!C89</f>
        <v>207.244</v>
      </c>
    </row>
    <row r="141" spans="1:3" ht="24" customHeight="1" x14ac:dyDescent="0.25">
      <c r="A141" s="23" t="s">
        <v>370</v>
      </c>
      <c r="B141" s="30" t="s">
        <v>120</v>
      </c>
      <c r="C141" s="40">
        <f>'ASIGNAVIMAI IŠ SAVIV.BIUDŽETO'!C135+BKL!C90</f>
        <v>100.16300000000001</v>
      </c>
    </row>
    <row r="142" spans="1:3" ht="24" customHeight="1" x14ac:dyDescent="0.25">
      <c r="A142" s="23" t="s">
        <v>371</v>
      </c>
      <c r="B142" s="30" t="s">
        <v>121</v>
      </c>
      <c r="C142" s="40">
        <f>'ASIGNAVIMAI IŠ SAVIV.BIUDŽETO'!C136+BKL!C91</f>
        <v>92.798000000000002</v>
      </c>
    </row>
    <row r="143" spans="1:3" ht="24" customHeight="1" x14ac:dyDescent="0.25">
      <c r="A143" s="23" t="s">
        <v>372</v>
      </c>
      <c r="B143" s="30" t="s">
        <v>122</v>
      </c>
      <c r="C143" s="40">
        <f>'ASIGNAVIMAI IŠ SAVIV.BIUDŽETO'!C137+BKL!C92</f>
        <v>264.13400000000001</v>
      </c>
    </row>
    <row r="144" spans="1:3" ht="24" customHeight="1" x14ac:dyDescent="0.25">
      <c r="A144" s="23" t="s">
        <v>373</v>
      </c>
      <c r="B144" s="30" t="s">
        <v>123</v>
      </c>
      <c r="C144" s="40">
        <f>'ASIGNAVIMAI IŠ SAVIV.BIUDŽETO'!C138+BKL!C93</f>
        <v>282.66899999999998</v>
      </c>
    </row>
    <row r="145" spans="1:3" ht="24" customHeight="1" x14ac:dyDescent="0.25">
      <c r="A145" s="23" t="s">
        <v>374</v>
      </c>
      <c r="B145" s="30" t="s">
        <v>164</v>
      </c>
      <c r="C145" s="40">
        <f>'ASIGNAVIMAI IŠ SAVIV.BIUDŽETO'!C139+BKL!C94</f>
        <v>246.13499999999999</v>
      </c>
    </row>
    <row r="146" spans="1:3" ht="24" customHeight="1" x14ac:dyDescent="0.25">
      <c r="A146" s="23" t="s">
        <v>424</v>
      </c>
      <c r="B146" s="30" t="s">
        <v>127</v>
      </c>
      <c r="C146" s="40">
        <f>'ASIGNAVIMAI IŠ SAVIV.BIUDŽETO'!C140+BKL!C95+'ASIGN IŠ NEP TIKSL PASK L'!C26</f>
        <v>563.59500000000003</v>
      </c>
    </row>
    <row r="147" spans="1:3" ht="18" customHeight="1" x14ac:dyDescent="0.25">
      <c r="A147" s="24"/>
      <c r="B147" s="35" t="s">
        <v>74</v>
      </c>
      <c r="C147" s="42">
        <f>SUM(C134:C146)</f>
        <v>20823.739000000005</v>
      </c>
    </row>
    <row r="148" spans="1:3" s="12" customFormat="1" ht="24" customHeight="1" x14ac:dyDescent="0.25">
      <c r="A148" s="241" t="s">
        <v>133</v>
      </c>
      <c r="B148" s="227"/>
      <c r="C148" s="125">
        <f>C147+C132+C118+C88+C59</f>
        <v>90736.687470000004</v>
      </c>
    </row>
    <row r="149" spans="1:3" ht="34.5" customHeight="1" x14ac:dyDescent="0.25">
      <c r="A149" s="32"/>
      <c r="B149" s="118"/>
      <c r="C149" s="119"/>
    </row>
  </sheetData>
  <mergeCells count="11">
    <mergeCell ref="A148:B148"/>
    <mergeCell ref="B12:C12"/>
    <mergeCell ref="C5:C7"/>
    <mergeCell ref="A8:C8"/>
    <mergeCell ref="A10:A11"/>
    <mergeCell ref="B10:B11"/>
    <mergeCell ref="C10:C11"/>
    <mergeCell ref="B60:C60"/>
    <mergeCell ref="B89:C89"/>
    <mergeCell ref="B119:C119"/>
    <mergeCell ref="B133:C133"/>
  </mergeCells>
  <phoneticPr fontId="9" type="noConversion"/>
  <pageMargins left="0.35433070866141736" right="0" top="0" bottom="0.19685039370078741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36"/>
  <sheetViews>
    <sheetView workbookViewId="0">
      <selection activeCell="B42" sqref="B42"/>
    </sheetView>
  </sheetViews>
  <sheetFormatPr defaultColWidth="6.5703125" defaultRowHeight="15.75" x14ac:dyDescent="0.25"/>
  <cols>
    <col min="1" max="1" width="5.42578125" style="1" customWidth="1"/>
    <col min="2" max="2" width="57.7109375" style="1" customWidth="1"/>
    <col min="3" max="3" width="26.140625" style="10" customWidth="1"/>
    <col min="4" max="4" width="9.85546875" style="1" customWidth="1"/>
    <col min="5" max="16384" width="6.5703125" style="1"/>
  </cols>
  <sheetData>
    <row r="1" spans="1:4" ht="15.75" customHeight="1" x14ac:dyDescent="0.25">
      <c r="C1" s="251" t="s">
        <v>77</v>
      </c>
      <c r="D1" s="251"/>
    </row>
    <row r="2" spans="1:4" ht="15.75" customHeight="1" x14ac:dyDescent="0.25">
      <c r="C2" s="251" t="s">
        <v>132</v>
      </c>
      <c r="D2" s="251"/>
    </row>
    <row r="3" spans="1:4" ht="15.75" customHeight="1" x14ac:dyDescent="0.25">
      <c r="C3" s="251" t="s">
        <v>476</v>
      </c>
      <c r="D3" s="251"/>
    </row>
    <row r="4" spans="1:4" ht="15.75" customHeight="1" x14ac:dyDescent="0.25">
      <c r="C4" s="2" t="s">
        <v>435</v>
      </c>
      <c r="D4" s="2"/>
    </row>
    <row r="5" spans="1:4" ht="15.75" hidden="1" customHeight="1" x14ac:dyDescent="0.25">
      <c r="C5" s="220" t="s">
        <v>470</v>
      </c>
      <c r="D5" s="220"/>
    </row>
    <row r="6" spans="1:4" ht="15.75" hidden="1" customHeight="1" x14ac:dyDescent="0.25">
      <c r="C6" s="220"/>
      <c r="D6" s="220"/>
    </row>
    <row r="7" spans="1:4" ht="15.75" hidden="1" customHeight="1" x14ac:dyDescent="0.25">
      <c r="C7" s="220"/>
      <c r="D7" s="220"/>
    </row>
    <row r="8" spans="1:4" ht="15.75" customHeight="1" x14ac:dyDescent="0.25">
      <c r="C8" s="181"/>
      <c r="D8" s="181"/>
    </row>
    <row r="9" spans="1:4" ht="15.75" customHeight="1" x14ac:dyDescent="0.25">
      <c r="A9" s="221" t="s">
        <v>478</v>
      </c>
      <c r="B9" s="221"/>
      <c r="C9" s="221"/>
    </row>
    <row r="10" spans="1:4" ht="15.75" customHeight="1" x14ac:dyDescent="0.25">
      <c r="A10" s="221" t="s">
        <v>64</v>
      </c>
      <c r="B10" s="221"/>
      <c r="C10" s="221"/>
    </row>
    <row r="11" spans="1:4" ht="15.75" customHeight="1" x14ac:dyDescent="0.25">
      <c r="A11" s="221" t="s">
        <v>228</v>
      </c>
      <c r="B11" s="221"/>
      <c r="C11" s="221"/>
    </row>
    <row r="12" spans="1:4" ht="15.75" customHeight="1" x14ac:dyDescent="0.25"/>
    <row r="13" spans="1:4" ht="15.75" customHeight="1" x14ac:dyDescent="0.25">
      <c r="A13" s="252" t="s">
        <v>232</v>
      </c>
      <c r="B13" s="245" t="s">
        <v>96</v>
      </c>
      <c r="C13" s="254" t="s">
        <v>74</v>
      </c>
    </row>
    <row r="14" spans="1:4" ht="15.75" customHeight="1" x14ac:dyDescent="0.25">
      <c r="A14" s="253"/>
      <c r="B14" s="246"/>
      <c r="C14" s="255"/>
    </row>
    <row r="15" spans="1:4" ht="24" customHeight="1" x14ac:dyDescent="0.25">
      <c r="A15" s="38" t="s">
        <v>264</v>
      </c>
      <c r="B15" s="249" t="s">
        <v>326</v>
      </c>
      <c r="C15" s="250"/>
    </row>
    <row r="16" spans="1:4" ht="24" customHeight="1" x14ac:dyDescent="0.25">
      <c r="A16" s="23" t="s">
        <v>69</v>
      </c>
      <c r="B16" s="30" t="s">
        <v>113</v>
      </c>
      <c r="C16" s="40">
        <f>320.3+677.6</f>
        <v>997.90000000000009</v>
      </c>
    </row>
    <row r="17" spans="1:3" ht="15" customHeight="1" x14ac:dyDescent="0.25">
      <c r="A17" s="23"/>
      <c r="B17" s="166" t="s">
        <v>487</v>
      </c>
      <c r="C17" s="211">
        <v>677.6</v>
      </c>
    </row>
    <row r="18" spans="1:3" ht="24" customHeight="1" x14ac:dyDescent="0.25">
      <c r="A18" s="23" t="s">
        <v>13</v>
      </c>
      <c r="B18" s="30" t="s">
        <v>108</v>
      </c>
      <c r="C18" s="40">
        <v>561.29999999999995</v>
      </c>
    </row>
    <row r="19" spans="1:3" ht="24" customHeight="1" x14ac:dyDescent="0.25">
      <c r="A19" s="23" t="s">
        <v>14</v>
      </c>
      <c r="B19" s="30" t="s">
        <v>2</v>
      </c>
      <c r="C19" s="40">
        <v>660.6</v>
      </c>
    </row>
    <row r="20" spans="1:3" ht="24" customHeight="1" x14ac:dyDescent="0.25">
      <c r="A20" s="23" t="s">
        <v>70</v>
      </c>
      <c r="B20" s="30" t="s">
        <v>9</v>
      </c>
      <c r="C20" s="40">
        <v>226.1</v>
      </c>
    </row>
    <row r="21" spans="1:3" ht="33.75" customHeight="1" x14ac:dyDescent="0.25">
      <c r="A21" s="23" t="s">
        <v>15</v>
      </c>
      <c r="B21" s="30" t="s">
        <v>124</v>
      </c>
      <c r="C21" s="40">
        <v>220.5</v>
      </c>
    </row>
    <row r="22" spans="1:3" ht="24" customHeight="1" x14ac:dyDescent="0.25">
      <c r="A22" s="23" t="s">
        <v>16</v>
      </c>
      <c r="B22" s="30" t="s">
        <v>75</v>
      </c>
      <c r="C22" s="40">
        <v>684</v>
      </c>
    </row>
    <row r="23" spans="1:3" ht="33.75" customHeight="1" x14ac:dyDescent="0.25">
      <c r="A23" s="23" t="s">
        <v>17</v>
      </c>
      <c r="B23" s="30" t="s">
        <v>155</v>
      </c>
      <c r="C23" s="40">
        <v>725.6</v>
      </c>
    </row>
    <row r="24" spans="1:3" ht="24" customHeight="1" x14ac:dyDescent="0.25">
      <c r="A24" s="23" t="s">
        <v>18</v>
      </c>
      <c r="B24" s="30" t="s">
        <v>125</v>
      </c>
      <c r="C24" s="40">
        <v>1713.7</v>
      </c>
    </row>
    <row r="25" spans="1:3" ht="24" customHeight="1" x14ac:dyDescent="0.25">
      <c r="A25" s="23" t="s">
        <v>19</v>
      </c>
      <c r="B25" s="30" t="s">
        <v>71</v>
      </c>
      <c r="C25" s="40">
        <v>1798.4</v>
      </c>
    </row>
    <row r="26" spans="1:3" ht="33.75" customHeight="1" x14ac:dyDescent="0.25">
      <c r="A26" s="23" t="s">
        <v>20</v>
      </c>
      <c r="B26" s="30" t="s">
        <v>97</v>
      </c>
      <c r="C26" s="40">
        <v>2228.1999999999998</v>
      </c>
    </row>
    <row r="27" spans="1:3" ht="24" customHeight="1" x14ac:dyDescent="0.25">
      <c r="A27" s="23" t="s">
        <v>21</v>
      </c>
      <c r="B27" s="30" t="s">
        <v>293</v>
      </c>
      <c r="C27" s="40">
        <v>871</v>
      </c>
    </row>
    <row r="28" spans="1:3" ht="24" customHeight="1" x14ac:dyDescent="0.25">
      <c r="A28" s="23" t="s">
        <v>22</v>
      </c>
      <c r="B28" s="30" t="s">
        <v>72</v>
      </c>
      <c r="C28" s="40">
        <v>3475.3</v>
      </c>
    </row>
    <row r="29" spans="1:3" ht="24" customHeight="1" x14ac:dyDescent="0.25">
      <c r="A29" s="23" t="s">
        <v>23</v>
      </c>
      <c r="B29" s="30" t="s">
        <v>73</v>
      </c>
      <c r="C29" s="40">
        <v>886</v>
      </c>
    </row>
    <row r="30" spans="1:3" ht="24" customHeight="1" x14ac:dyDescent="0.25">
      <c r="A30" s="23" t="s">
        <v>109</v>
      </c>
      <c r="B30" s="30" t="s">
        <v>10</v>
      </c>
      <c r="C30" s="40">
        <v>778.7</v>
      </c>
    </row>
    <row r="31" spans="1:3" ht="24" customHeight="1" x14ac:dyDescent="0.25">
      <c r="A31" s="23" t="s">
        <v>24</v>
      </c>
      <c r="B31" s="30" t="s">
        <v>246</v>
      </c>
      <c r="C31" s="40">
        <v>1236.0999999999999</v>
      </c>
    </row>
    <row r="32" spans="1:3" ht="24" customHeight="1" x14ac:dyDescent="0.25">
      <c r="A32" s="23" t="s">
        <v>110</v>
      </c>
      <c r="B32" s="30" t="s">
        <v>327</v>
      </c>
      <c r="C32" s="40">
        <v>889</v>
      </c>
    </row>
    <row r="33" spans="1:3" ht="24" customHeight="1" x14ac:dyDescent="0.25">
      <c r="A33" s="23" t="s">
        <v>165</v>
      </c>
      <c r="B33" s="82" t="s">
        <v>247</v>
      </c>
      <c r="C33" s="40">
        <v>196.7</v>
      </c>
    </row>
    <row r="34" spans="1:3" ht="24" customHeight="1" x14ac:dyDescent="0.25">
      <c r="A34" s="23" t="s">
        <v>315</v>
      </c>
      <c r="B34" s="30" t="s">
        <v>98</v>
      </c>
      <c r="C34" s="40">
        <v>44.2</v>
      </c>
    </row>
    <row r="35" spans="1:3" ht="24" customHeight="1" x14ac:dyDescent="0.25">
      <c r="A35" s="23" t="s">
        <v>316</v>
      </c>
      <c r="B35" s="30" t="s">
        <v>291</v>
      </c>
      <c r="C35" s="40">
        <v>61</v>
      </c>
    </row>
    <row r="36" spans="1:3" s="12" customFormat="1" ht="24" customHeight="1" x14ac:dyDescent="0.25">
      <c r="A36" s="58" t="s">
        <v>133</v>
      </c>
      <c r="B36" s="78"/>
      <c r="C36" s="43">
        <f>SUM(C16:C35)-C17</f>
        <v>18254.300000000003</v>
      </c>
    </row>
    <row r="37" spans="1:3" ht="14.25" customHeight="1" x14ac:dyDescent="0.25">
      <c r="A37" s="57"/>
      <c r="C37" s="20"/>
    </row>
    <row r="38" spans="1:3" ht="15.75" customHeight="1" x14ac:dyDescent="0.25">
      <c r="A38" s="113"/>
      <c r="B38" s="113"/>
      <c r="C38" s="117"/>
    </row>
    <row r="39" spans="1:3" ht="15.75" customHeight="1" x14ac:dyDescent="0.25">
      <c r="C39" s="56"/>
    </row>
    <row r="40" spans="1:3" ht="15.75" customHeight="1" x14ac:dyDescent="0.25"/>
    <row r="41" spans="1:3" ht="15.75" customHeight="1" x14ac:dyDescent="0.25"/>
    <row r="42" spans="1:3" ht="15.75" customHeight="1" x14ac:dyDescent="0.25">
      <c r="C42" s="20"/>
    </row>
    <row r="43" spans="1:3" ht="15.75" customHeight="1" x14ac:dyDescent="0.25"/>
    <row r="44" spans="1:3" ht="15.75" customHeight="1" x14ac:dyDescent="0.25"/>
    <row r="45" spans="1:3" ht="15.75" customHeight="1" x14ac:dyDescent="0.25"/>
    <row r="46" spans="1:3" ht="15.75" customHeight="1" x14ac:dyDescent="0.25"/>
    <row r="47" spans="1:3" ht="15.75" customHeight="1" x14ac:dyDescent="0.25"/>
    <row r="48" spans="1:3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</sheetData>
  <mergeCells count="11">
    <mergeCell ref="B15:C15"/>
    <mergeCell ref="C1:D1"/>
    <mergeCell ref="C2:D2"/>
    <mergeCell ref="C3:D3"/>
    <mergeCell ref="A9:C9"/>
    <mergeCell ref="A10:C10"/>
    <mergeCell ref="A11:C11"/>
    <mergeCell ref="A13:A14"/>
    <mergeCell ref="B13:B14"/>
    <mergeCell ref="C13:C14"/>
    <mergeCell ref="C5:D7"/>
  </mergeCells>
  <phoneticPr fontId="9" type="noConversion"/>
  <pageMargins left="0.74803149606299213" right="0.19685039370078741" top="0.39370078740157483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52"/>
  <sheetViews>
    <sheetView showZeros="0" topLeftCell="A131" workbookViewId="0">
      <selection activeCell="C142" sqref="C142"/>
    </sheetView>
  </sheetViews>
  <sheetFormatPr defaultColWidth="9.140625" defaultRowHeight="15.75" customHeight="1" x14ac:dyDescent="0.25"/>
  <cols>
    <col min="1" max="1" width="5.85546875" style="1" customWidth="1"/>
    <col min="2" max="2" width="57.7109375" style="1" customWidth="1"/>
    <col min="3" max="3" width="26.140625" style="12" customWidth="1"/>
    <col min="4" max="16384" width="9.140625" style="1"/>
  </cols>
  <sheetData>
    <row r="1" spans="1:4" ht="15.75" customHeight="1" x14ac:dyDescent="0.25">
      <c r="C1" s="2" t="s">
        <v>77</v>
      </c>
    </row>
    <row r="2" spans="1:4" ht="15.75" customHeight="1" x14ac:dyDescent="0.25">
      <c r="C2" s="2" t="s">
        <v>132</v>
      </c>
    </row>
    <row r="3" spans="1:4" ht="15.75" customHeight="1" x14ac:dyDescent="0.25">
      <c r="C3" s="2" t="s">
        <v>476</v>
      </c>
    </row>
    <row r="4" spans="1:4" ht="15.75" customHeight="1" x14ac:dyDescent="0.25">
      <c r="C4" s="2" t="s">
        <v>435</v>
      </c>
    </row>
    <row r="5" spans="1:4" ht="15.75" hidden="1" customHeight="1" x14ac:dyDescent="0.25">
      <c r="C5" s="220" t="s">
        <v>470</v>
      </c>
    </row>
    <row r="6" spans="1:4" ht="15.75" hidden="1" customHeight="1" x14ac:dyDescent="0.25">
      <c r="C6" s="220"/>
    </row>
    <row r="7" spans="1:4" ht="15.75" hidden="1" customHeight="1" x14ac:dyDescent="0.25">
      <c r="C7" s="220"/>
    </row>
    <row r="8" spans="1:4" ht="15.75" customHeight="1" x14ac:dyDescent="0.25">
      <c r="B8" s="8"/>
      <c r="C8" s="14"/>
    </row>
    <row r="9" spans="1:4" ht="15.75" customHeight="1" x14ac:dyDescent="0.25">
      <c r="A9" s="256" t="s">
        <v>479</v>
      </c>
      <c r="B9" s="256"/>
      <c r="C9" s="256"/>
    </row>
    <row r="10" spans="1:4" ht="15.75" customHeight="1" x14ac:dyDescent="0.25">
      <c r="A10" s="221" t="s">
        <v>269</v>
      </c>
      <c r="B10" s="221"/>
      <c r="C10" s="221"/>
    </row>
    <row r="11" spans="1:4" ht="15.75" customHeight="1" x14ac:dyDescent="0.25">
      <c r="A11" s="10"/>
      <c r="B11" s="10"/>
      <c r="C11" s="10"/>
    </row>
    <row r="12" spans="1:4" ht="17.25" customHeight="1" x14ac:dyDescent="0.25">
      <c r="B12" s="12"/>
      <c r="C12" s="157" t="s">
        <v>271</v>
      </c>
    </row>
    <row r="13" spans="1:4" s="70" customFormat="1" ht="45.75" customHeight="1" x14ac:dyDescent="0.25">
      <c r="A13" s="156" t="s">
        <v>232</v>
      </c>
      <c r="B13" s="156" t="s">
        <v>96</v>
      </c>
      <c r="C13" s="153" t="s">
        <v>74</v>
      </c>
    </row>
    <row r="14" spans="1:4" s="70" customFormat="1" ht="24" customHeight="1" x14ac:dyDescent="0.25">
      <c r="A14" s="48" t="s">
        <v>78</v>
      </c>
      <c r="B14" s="242" t="s">
        <v>313</v>
      </c>
      <c r="C14" s="242"/>
    </row>
    <row r="15" spans="1:4" ht="24" customHeight="1" x14ac:dyDescent="0.25">
      <c r="A15" s="23" t="s">
        <v>69</v>
      </c>
      <c r="B15" s="32" t="s">
        <v>113</v>
      </c>
      <c r="C15" s="99">
        <f>6263.914</f>
        <v>6263.9139999999998</v>
      </c>
      <c r="D15" s="44"/>
    </row>
    <row r="16" spans="1:4" ht="37.5" customHeight="1" x14ac:dyDescent="0.25">
      <c r="A16" s="23" t="s">
        <v>13</v>
      </c>
      <c r="B16" s="71" t="s">
        <v>309</v>
      </c>
      <c r="C16" s="99">
        <f>943.352</f>
        <v>943.35199999999998</v>
      </c>
      <c r="D16" s="44"/>
    </row>
    <row r="17" spans="1:4" ht="33.75" customHeight="1" x14ac:dyDescent="0.25">
      <c r="A17" s="23" t="s">
        <v>14</v>
      </c>
      <c r="B17" s="71" t="s">
        <v>325</v>
      </c>
      <c r="C17" s="99">
        <f>103</f>
        <v>103</v>
      </c>
      <c r="D17" s="44"/>
    </row>
    <row r="18" spans="1:4" ht="33.75" customHeight="1" x14ac:dyDescent="0.25">
      <c r="A18" s="23" t="s">
        <v>70</v>
      </c>
      <c r="B18" s="71" t="s">
        <v>0</v>
      </c>
      <c r="C18" s="99">
        <f>713.5</f>
        <v>713.5</v>
      </c>
      <c r="D18" s="44"/>
    </row>
    <row r="19" spans="1:4" s="70" customFormat="1" ht="24" customHeight="1" x14ac:dyDescent="0.25">
      <c r="A19" s="72" t="s">
        <v>15</v>
      </c>
      <c r="B19" s="32" t="s">
        <v>114</v>
      </c>
      <c r="C19" s="99">
        <f>135.547</f>
        <v>135.547</v>
      </c>
      <c r="D19" s="44"/>
    </row>
    <row r="20" spans="1:4" ht="24" customHeight="1" x14ac:dyDescent="0.25">
      <c r="A20" s="23" t="s">
        <v>16</v>
      </c>
      <c r="B20" s="71" t="s">
        <v>1</v>
      </c>
      <c r="C20" s="99">
        <f>51</f>
        <v>51</v>
      </c>
      <c r="D20" s="44"/>
    </row>
    <row r="21" spans="1:4" ht="24" customHeight="1" x14ac:dyDescent="0.25">
      <c r="A21" s="23" t="s">
        <v>17</v>
      </c>
      <c r="B21" s="73" t="s">
        <v>312</v>
      </c>
      <c r="C21" s="99">
        <f>1115.404</f>
        <v>1115.404</v>
      </c>
      <c r="D21" s="44"/>
    </row>
    <row r="22" spans="1:4" ht="24" customHeight="1" x14ac:dyDescent="0.25">
      <c r="A22" s="136" t="s">
        <v>18</v>
      </c>
      <c r="B22" s="30" t="s">
        <v>108</v>
      </c>
      <c r="C22" s="99">
        <f>509.563</f>
        <v>509.56299999999999</v>
      </c>
      <c r="D22" s="44"/>
    </row>
    <row r="23" spans="1:4" ht="24" customHeight="1" x14ac:dyDescent="0.25">
      <c r="A23" s="136" t="s">
        <v>19</v>
      </c>
      <c r="B23" s="30" t="s">
        <v>2</v>
      </c>
      <c r="C23" s="99">
        <f>525.394</f>
        <v>525.39400000000001</v>
      </c>
      <c r="D23" s="44"/>
    </row>
    <row r="24" spans="1:4" ht="24" customHeight="1" x14ac:dyDescent="0.25">
      <c r="A24" s="136" t="s">
        <v>20</v>
      </c>
      <c r="B24" s="30" t="s">
        <v>9</v>
      </c>
      <c r="C24" s="99">
        <f>285.928</f>
        <v>285.928</v>
      </c>
      <c r="D24" s="44"/>
    </row>
    <row r="25" spans="1:4" ht="33.75" customHeight="1" x14ac:dyDescent="0.25">
      <c r="A25" s="136" t="s">
        <v>21</v>
      </c>
      <c r="B25" s="30" t="s">
        <v>124</v>
      </c>
      <c r="C25" s="99">
        <f>269.008</f>
        <v>269.00799999999998</v>
      </c>
      <c r="D25" s="44"/>
    </row>
    <row r="26" spans="1:4" ht="24" customHeight="1" x14ac:dyDescent="0.25">
      <c r="A26" s="136" t="s">
        <v>22</v>
      </c>
      <c r="B26" s="30" t="s">
        <v>75</v>
      </c>
      <c r="C26" s="99">
        <f>453.942</f>
        <v>453.94200000000001</v>
      </c>
      <c r="D26" s="44"/>
    </row>
    <row r="27" spans="1:4" ht="33.75" customHeight="1" x14ac:dyDescent="0.25">
      <c r="A27" s="136" t="s">
        <v>23</v>
      </c>
      <c r="B27" s="30" t="s">
        <v>155</v>
      </c>
      <c r="C27" s="99">
        <f>630.028</f>
        <v>630.02800000000002</v>
      </c>
      <c r="D27" s="44"/>
    </row>
    <row r="28" spans="1:4" ht="24" customHeight="1" x14ac:dyDescent="0.25">
      <c r="A28" s="136" t="s">
        <v>109</v>
      </c>
      <c r="B28" s="30" t="s">
        <v>125</v>
      </c>
      <c r="C28" s="99">
        <f>514.624</f>
        <v>514.62400000000002</v>
      </c>
      <c r="D28" s="44"/>
    </row>
    <row r="29" spans="1:4" ht="24" customHeight="1" x14ac:dyDescent="0.25">
      <c r="A29" s="136" t="s">
        <v>24</v>
      </c>
      <c r="B29" s="30" t="s">
        <v>71</v>
      </c>
      <c r="C29" s="99">
        <f>551.557</f>
        <v>551.55700000000002</v>
      </c>
      <c r="D29" s="44"/>
    </row>
    <row r="30" spans="1:4" ht="33.75" customHeight="1" x14ac:dyDescent="0.25">
      <c r="A30" s="136" t="s">
        <v>110</v>
      </c>
      <c r="B30" s="30" t="s">
        <v>97</v>
      </c>
      <c r="C30" s="99">
        <f>509.178</f>
        <v>509.178</v>
      </c>
      <c r="D30" s="44"/>
    </row>
    <row r="31" spans="1:4" ht="24" customHeight="1" x14ac:dyDescent="0.25">
      <c r="A31" s="136" t="s">
        <v>165</v>
      </c>
      <c r="B31" s="30" t="s">
        <v>293</v>
      </c>
      <c r="C31" s="99">
        <f>420.762</f>
        <v>420.762</v>
      </c>
      <c r="D31" s="44"/>
    </row>
    <row r="32" spans="1:4" ht="24" customHeight="1" x14ac:dyDescent="0.25">
      <c r="A32" s="93" t="s">
        <v>315</v>
      </c>
      <c r="B32" s="30" t="s">
        <v>72</v>
      </c>
      <c r="C32" s="99">
        <f>787.681</f>
        <v>787.68100000000004</v>
      </c>
      <c r="D32" s="44"/>
    </row>
    <row r="33" spans="1:4" ht="24" customHeight="1" x14ac:dyDescent="0.25">
      <c r="A33" s="93" t="s">
        <v>316</v>
      </c>
      <c r="B33" s="30" t="s">
        <v>73</v>
      </c>
      <c r="C33" s="99">
        <f>528.715-0.592</f>
        <v>528.12300000000005</v>
      </c>
      <c r="D33" s="44"/>
    </row>
    <row r="34" spans="1:4" ht="24" customHeight="1" x14ac:dyDescent="0.25">
      <c r="A34" s="93" t="s">
        <v>317</v>
      </c>
      <c r="B34" s="30" t="s">
        <v>10</v>
      </c>
      <c r="C34" s="99">
        <f>325.273</f>
        <v>325.27300000000002</v>
      </c>
      <c r="D34" s="44"/>
    </row>
    <row r="35" spans="1:4" ht="24" customHeight="1" x14ac:dyDescent="0.25">
      <c r="A35" s="93" t="s">
        <v>318</v>
      </c>
      <c r="B35" s="30" t="s">
        <v>246</v>
      </c>
      <c r="C35" s="99">
        <f>97.603</f>
        <v>97.602999999999994</v>
      </c>
      <c r="D35" s="44"/>
    </row>
    <row r="36" spans="1:4" ht="24" customHeight="1" x14ac:dyDescent="0.25">
      <c r="A36" s="93" t="s">
        <v>319</v>
      </c>
      <c r="B36" s="30" t="s">
        <v>327</v>
      </c>
      <c r="C36" s="99">
        <f>101.288</f>
        <v>101.288</v>
      </c>
      <c r="D36" s="44"/>
    </row>
    <row r="37" spans="1:4" ht="24" customHeight="1" x14ac:dyDescent="0.25">
      <c r="A37" s="93" t="s">
        <v>320</v>
      </c>
      <c r="B37" s="82" t="s">
        <v>247</v>
      </c>
      <c r="C37" s="99">
        <f>76.836</f>
        <v>76.835999999999999</v>
      </c>
      <c r="D37" s="44"/>
    </row>
    <row r="38" spans="1:4" ht="24" customHeight="1" x14ac:dyDescent="0.25">
      <c r="A38" s="93" t="s">
        <v>321</v>
      </c>
      <c r="B38" s="30" t="s">
        <v>98</v>
      </c>
      <c r="C38" s="99">
        <f>255.244</f>
        <v>255.244</v>
      </c>
      <c r="D38" s="44"/>
    </row>
    <row r="39" spans="1:4" ht="24" customHeight="1" x14ac:dyDescent="0.25">
      <c r="A39" s="93" t="s">
        <v>328</v>
      </c>
      <c r="B39" s="30" t="s">
        <v>291</v>
      </c>
      <c r="C39" s="99">
        <f>519.387</f>
        <v>519.38699999999994</v>
      </c>
      <c r="D39" s="44"/>
    </row>
    <row r="40" spans="1:4" ht="24" customHeight="1" x14ac:dyDescent="0.25">
      <c r="A40" s="23" t="s">
        <v>329</v>
      </c>
      <c r="B40" s="30" t="s">
        <v>432</v>
      </c>
      <c r="C40" s="99">
        <f>330.336</f>
        <v>330.33600000000001</v>
      </c>
      <c r="D40" s="44"/>
    </row>
    <row r="41" spans="1:4" ht="24" customHeight="1" x14ac:dyDescent="0.25">
      <c r="A41" s="23" t="s">
        <v>330</v>
      </c>
      <c r="B41" s="30" t="s">
        <v>337</v>
      </c>
      <c r="C41" s="99">
        <f>178.038</f>
        <v>178.03800000000001</v>
      </c>
      <c r="D41" s="44"/>
    </row>
    <row r="42" spans="1:4" ht="24" customHeight="1" x14ac:dyDescent="0.25">
      <c r="A42" s="23" t="s">
        <v>331</v>
      </c>
      <c r="B42" s="27" t="s">
        <v>99</v>
      </c>
      <c r="C42" s="99">
        <f>430.213</f>
        <v>430.21300000000002</v>
      </c>
      <c r="D42" s="44"/>
    </row>
    <row r="43" spans="1:4" ht="24" customHeight="1" x14ac:dyDescent="0.25">
      <c r="A43" s="23" t="s">
        <v>332</v>
      </c>
      <c r="B43" s="36" t="s">
        <v>100</v>
      </c>
      <c r="C43" s="99">
        <f>102.888</f>
        <v>102.88800000000001</v>
      </c>
      <c r="D43" s="44"/>
    </row>
    <row r="44" spans="1:4" ht="24" customHeight="1" x14ac:dyDescent="0.25">
      <c r="A44" s="23" t="s">
        <v>333</v>
      </c>
      <c r="B44" s="36" t="s">
        <v>101</v>
      </c>
      <c r="C44" s="99">
        <f>86.825</f>
        <v>86.825000000000003</v>
      </c>
      <c r="D44" s="44"/>
    </row>
    <row r="45" spans="1:4" ht="24" customHeight="1" x14ac:dyDescent="0.25">
      <c r="A45" s="23" t="s">
        <v>334</v>
      </c>
      <c r="B45" s="36" t="s">
        <v>102</v>
      </c>
      <c r="C45" s="99">
        <f>184.219</f>
        <v>184.21899999999999</v>
      </c>
      <c r="D45" s="44"/>
    </row>
    <row r="46" spans="1:4" ht="24" customHeight="1" x14ac:dyDescent="0.25">
      <c r="A46" s="23" t="s">
        <v>335</v>
      </c>
      <c r="B46" s="36" t="s">
        <v>103</v>
      </c>
      <c r="C46" s="99">
        <f>141.182</f>
        <v>141.18199999999999</v>
      </c>
      <c r="D46" s="44"/>
    </row>
    <row r="47" spans="1:4" ht="24" customHeight="1" x14ac:dyDescent="0.25">
      <c r="A47" s="23" t="s">
        <v>336</v>
      </c>
      <c r="B47" s="174" t="s">
        <v>104</v>
      </c>
      <c r="C47" s="99">
        <f>135.666</f>
        <v>135.666</v>
      </c>
      <c r="D47" s="44"/>
    </row>
    <row r="48" spans="1:4" ht="24" customHeight="1" x14ac:dyDescent="0.25">
      <c r="A48" s="23" t="s">
        <v>338</v>
      </c>
      <c r="B48" s="17" t="s">
        <v>105</v>
      </c>
      <c r="C48" s="99">
        <f>632.902</f>
        <v>632.90200000000004</v>
      </c>
      <c r="D48" s="44"/>
    </row>
    <row r="49" spans="1:4" ht="33.75" customHeight="1" x14ac:dyDescent="0.25">
      <c r="A49" s="23" t="s">
        <v>349</v>
      </c>
      <c r="B49" s="71" t="s">
        <v>106</v>
      </c>
      <c r="C49" s="99">
        <f>7.565</f>
        <v>7.5650000000000004</v>
      </c>
      <c r="D49" s="44"/>
    </row>
    <row r="50" spans="1:4" ht="24" customHeight="1" x14ac:dyDescent="0.25">
      <c r="A50" s="23" t="s">
        <v>350</v>
      </c>
      <c r="B50" s="30" t="s">
        <v>115</v>
      </c>
      <c r="C50" s="99">
        <f>20.08</f>
        <v>20.079999999999998</v>
      </c>
      <c r="D50" s="44"/>
    </row>
    <row r="51" spans="1:4" ht="24" customHeight="1" x14ac:dyDescent="0.25">
      <c r="A51" s="23" t="s">
        <v>351</v>
      </c>
      <c r="B51" s="30" t="s">
        <v>163</v>
      </c>
      <c r="C51" s="99">
        <f>17.6</f>
        <v>17.600000000000001</v>
      </c>
      <c r="D51" s="44"/>
    </row>
    <row r="52" spans="1:4" ht="24" customHeight="1" x14ac:dyDescent="0.25">
      <c r="A52" s="23" t="s">
        <v>352</v>
      </c>
      <c r="B52" s="30" t="s">
        <v>116</v>
      </c>
      <c r="C52" s="99">
        <f>20.72</f>
        <v>20.72</v>
      </c>
      <c r="D52" s="44"/>
    </row>
    <row r="53" spans="1:4" ht="24" customHeight="1" x14ac:dyDescent="0.25">
      <c r="A53" s="23" t="s">
        <v>353</v>
      </c>
      <c r="B53" s="30" t="s">
        <v>126</v>
      </c>
      <c r="C53" s="99">
        <f>15.92</f>
        <v>15.92</v>
      </c>
      <c r="D53" s="44"/>
    </row>
    <row r="54" spans="1:4" ht="24" customHeight="1" x14ac:dyDescent="0.25">
      <c r="A54" s="23" t="s">
        <v>354</v>
      </c>
      <c r="B54" s="30" t="s">
        <v>119</v>
      </c>
      <c r="C54" s="99">
        <f>34.705</f>
        <v>34.704999999999998</v>
      </c>
      <c r="D54" s="44"/>
    </row>
    <row r="55" spans="1:4" ht="24" customHeight="1" x14ac:dyDescent="0.25">
      <c r="A55" s="23" t="s">
        <v>355</v>
      </c>
      <c r="B55" s="30" t="s">
        <v>120</v>
      </c>
      <c r="C55" s="99">
        <f>15.48</f>
        <v>15.48</v>
      </c>
      <c r="D55" s="44"/>
    </row>
    <row r="56" spans="1:4" ht="24" customHeight="1" x14ac:dyDescent="0.25">
      <c r="A56" s="23" t="s">
        <v>356</v>
      </c>
      <c r="B56" s="30" t="s">
        <v>121</v>
      </c>
      <c r="C56" s="99">
        <f>39.36</f>
        <v>39.36</v>
      </c>
      <c r="D56" s="44"/>
    </row>
    <row r="57" spans="1:4" ht="24" customHeight="1" x14ac:dyDescent="0.25">
      <c r="A57" s="23" t="s">
        <v>357</v>
      </c>
      <c r="B57" s="30" t="s">
        <v>122</v>
      </c>
      <c r="C57" s="99">
        <f>23.16</f>
        <v>23.16</v>
      </c>
      <c r="D57" s="44"/>
    </row>
    <row r="58" spans="1:4" ht="24" customHeight="1" x14ac:dyDescent="0.25">
      <c r="A58" s="23" t="s">
        <v>358</v>
      </c>
      <c r="B58" s="30" t="s">
        <v>123</v>
      </c>
      <c r="C58" s="99">
        <f>30.368</f>
        <v>30.367999999999999</v>
      </c>
      <c r="D58" s="44"/>
    </row>
    <row r="59" spans="1:4" ht="24" customHeight="1" x14ac:dyDescent="0.25">
      <c r="A59" s="23" t="s">
        <v>359</v>
      </c>
      <c r="B59" s="30" t="s">
        <v>164</v>
      </c>
      <c r="C59" s="99">
        <f>15.2</f>
        <v>15.2</v>
      </c>
      <c r="D59" s="44"/>
    </row>
    <row r="60" spans="1:4" ht="24" customHeight="1" x14ac:dyDescent="0.25">
      <c r="A60" s="23" t="s">
        <v>360</v>
      </c>
      <c r="B60" s="30" t="s">
        <v>127</v>
      </c>
      <c r="C60" s="99">
        <f>24.175</f>
        <v>24.175000000000001</v>
      </c>
      <c r="D60" s="44"/>
    </row>
    <row r="61" spans="1:4" ht="24" customHeight="1" x14ac:dyDescent="0.25">
      <c r="A61" s="24"/>
      <c r="B61" s="35" t="s">
        <v>74</v>
      </c>
      <c r="C61" s="42">
        <f>SUM(C15:C60)</f>
        <v>19173.737999999998</v>
      </c>
    </row>
    <row r="62" spans="1:4" s="12" customFormat="1" ht="24" customHeight="1" x14ac:dyDescent="0.25">
      <c r="A62" s="29" t="s">
        <v>79</v>
      </c>
      <c r="B62" s="242" t="s">
        <v>326</v>
      </c>
      <c r="C62" s="242"/>
    </row>
    <row r="63" spans="1:4" s="12" customFormat="1" ht="24" customHeight="1" x14ac:dyDescent="0.25">
      <c r="A63" s="23" t="s">
        <v>25</v>
      </c>
      <c r="B63" s="32" t="s">
        <v>113</v>
      </c>
      <c r="C63" s="99">
        <f>437.955-6-1.261-3.266-20</f>
        <v>407.42799999999994</v>
      </c>
    </row>
    <row r="64" spans="1:4" s="12" customFormat="1" ht="24" customHeight="1" x14ac:dyDescent="0.25">
      <c r="A64" s="23" t="s">
        <v>26</v>
      </c>
      <c r="B64" s="73" t="s">
        <v>108</v>
      </c>
      <c r="C64" s="99">
        <f>254.608+2</f>
        <v>256.608</v>
      </c>
    </row>
    <row r="65" spans="1:3" ht="24" customHeight="1" x14ac:dyDescent="0.25">
      <c r="A65" s="23" t="s">
        <v>27</v>
      </c>
      <c r="B65" s="73" t="s">
        <v>2</v>
      </c>
      <c r="C65" s="99">
        <f>277.227+2</f>
        <v>279.22699999999998</v>
      </c>
    </row>
    <row r="66" spans="1:3" ht="24" customHeight="1" x14ac:dyDescent="0.25">
      <c r="A66" s="23" t="s">
        <v>28</v>
      </c>
      <c r="B66" s="73" t="s">
        <v>9</v>
      </c>
      <c r="C66" s="99">
        <f>104.922</f>
        <v>104.922</v>
      </c>
    </row>
    <row r="67" spans="1:3" ht="33.75" customHeight="1" x14ac:dyDescent="0.25">
      <c r="A67" s="23" t="s">
        <v>29</v>
      </c>
      <c r="B67" s="73" t="s">
        <v>124</v>
      </c>
      <c r="C67" s="99">
        <f>91.05</f>
        <v>91.05</v>
      </c>
    </row>
    <row r="68" spans="1:3" ht="33.75" customHeight="1" x14ac:dyDescent="0.25">
      <c r="A68" s="23" t="s">
        <v>30</v>
      </c>
      <c r="B68" s="73" t="s">
        <v>75</v>
      </c>
      <c r="C68" s="99">
        <f>140.5+3</f>
        <v>143.5</v>
      </c>
    </row>
    <row r="69" spans="1:3" ht="33.75" customHeight="1" x14ac:dyDescent="0.25">
      <c r="A69" s="23" t="s">
        <v>31</v>
      </c>
      <c r="B69" s="73" t="s">
        <v>155</v>
      </c>
      <c r="C69" s="99">
        <f>215.13</f>
        <v>215.13</v>
      </c>
    </row>
    <row r="70" spans="1:3" ht="24" customHeight="1" x14ac:dyDescent="0.25">
      <c r="A70" s="23" t="s">
        <v>32</v>
      </c>
      <c r="B70" s="73" t="s">
        <v>125</v>
      </c>
      <c r="C70" s="99">
        <f>2.9</f>
        <v>2.9</v>
      </c>
    </row>
    <row r="71" spans="1:3" ht="24" customHeight="1" x14ac:dyDescent="0.25">
      <c r="A71" s="23" t="s">
        <v>33</v>
      </c>
      <c r="B71" s="73" t="s">
        <v>71</v>
      </c>
      <c r="C71" s="99">
        <f>110.53</f>
        <v>110.53</v>
      </c>
    </row>
    <row r="72" spans="1:3" ht="33.75" customHeight="1" x14ac:dyDescent="0.25">
      <c r="A72" s="23" t="s">
        <v>34</v>
      </c>
      <c r="B72" s="73" t="s">
        <v>97</v>
      </c>
      <c r="C72" s="99">
        <f>115.688+6+7</f>
        <v>128.68799999999999</v>
      </c>
    </row>
    <row r="73" spans="1:3" ht="24" customHeight="1" x14ac:dyDescent="0.25">
      <c r="A73" s="23" t="s">
        <v>35</v>
      </c>
      <c r="B73" s="73" t="s">
        <v>293</v>
      </c>
      <c r="C73" s="99">
        <f>98.872</f>
        <v>98.872</v>
      </c>
    </row>
    <row r="74" spans="1:3" ht="24" customHeight="1" x14ac:dyDescent="0.25">
      <c r="A74" s="23" t="s">
        <v>36</v>
      </c>
      <c r="B74" s="73" t="s">
        <v>72</v>
      </c>
      <c r="C74" s="99">
        <f>264.374</f>
        <v>264.37400000000002</v>
      </c>
    </row>
    <row r="75" spans="1:3" ht="24" customHeight="1" x14ac:dyDescent="0.25">
      <c r="A75" s="23" t="s">
        <v>3</v>
      </c>
      <c r="B75" s="30" t="s">
        <v>73</v>
      </c>
      <c r="C75" s="99">
        <f>168.095+0.592+3</f>
        <v>171.68700000000001</v>
      </c>
    </row>
    <row r="76" spans="1:3" ht="33.75" customHeight="1" x14ac:dyDescent="0.25">
      <c r="A76" s="23" t="s">
        <v>397</v>
      </c>
      <c r="B76" s="30" t="s">
        <v>10</v>
      </c>
      <c r="C76" s="99">
        <f>52.166+3</f>
        <v>55.165999999999997</v>
      </c>
    </row>
    <row r="77" spans="1:3" ht="24" customHeight="1" x14ac:dyDescent="0.25">
      <c r="A77" s="23" t="s">
        <v>4</v>
      </c>
      <c r="B77" s="30" t="s">
        <v>246</v>
      </c>
      <c r="C77" s="99">
        <f>15.5</f>
        <v>15.5</v>
      </c>
    </row>
    <row r="78" spans="1:3" ht="33.75" customHeight="1" x14ac:dyDescent="0.25">
      <c r="A78" s="23" t="s">
        <v>5</v>
      </c>
      <c r="B78" s="30" t="s">
        <v>327</v>
      </c>
      <c r="C78" s="99">
        <f>41.193</f>
        <v>41.192999999999998</v>
      </c>
    </row>
    <row r="79" spans="1:3" ht="33.75" customHeight="1" x14ac:dyDescent="0.25">
      <c r="A79" s="23" t="s">
        <v>6</v>
      </c>
      <c r="B79" s="82" t="s">
        <v>247</v>
      </c>
      <c r="C79" s="99">
        <f>36.489</f>
        <v>36.488999999999997</v>
      </c>
    </row>
    <row r="80" spans="1:3" ht="24" customHeight="1" x14ac:dyDescent="0.25">
      <c r="A80" s="23" t="s">
        <v>159</v>
      </c>
      <c r="B80" s="30" t="s">
        <v>98</v>
      </c>
      <c r="C80" s="99">
        <f>840.519</f>
        <v>840.51900000000001</v>
      </c>
    </row>
    <row r="81" spans="1:3" ht="24" customHeight="1" x14ac:dyDescent="0.25">
      <c r="A81" s="23" t="s">
        <v>7</v>
      </c>
      <c r="B81" s="30" t="s">
        <v>291</v>
      </c>
      <c r="C81" s="99">
        <f>422.125+4.062</f>
        <v>426.18700000000001</v>
      </c>
    </row>
    <row r="82" spans="1:3" ht="33.75" customHeight="1" x14ac:dyDescent="0.25">
      <c r="A82" s="23" t="s">
        <v>8</v>
      </c>
      <c r="B82" s="30" t="s">
        <v>432</v>
      </c>
      <c r="C82" s="99">
        <f>552.211</f>
        <v>552.21100000000001</v>
      </c>
    </row>
    <row r="83" spans="1:3" ht="24" customHeight="1" x14ac:dyDescent="0.25">
      <c r="A83" s="23" t="s">
        <v>278</v>
      </c>
      <c r="B83" s="30" t="s">
        <v>337</v>
      </c>
      <c r="C83" s="99">
        <f>172.837</f>
        <v>172.83699999999999</v>
      </c>
    </row>
    <row r="84" spans="1:3" ht="24" customHeight="1" x14ac:dyDescent="0.25">
      <c r="A84" s="23" t="s">
        <v>279</v>
      </c>
      <c r="B84" s="27" t="s">
        <v>99</v>
      </c>
      <c r="C84" s="99">
        <f>718.552+3.266</f>
        <v>721.81799999999998</v>
      </c>
    </row>
    <row r="85" spans="1:3" ht="24" customHeight="1" x14ac:dyDescent="0.25">
      <c r="A85" s="23" t="s">
        <v>280</v>
      </c>
      <c r="B85" s="36" t="s">
        <v>100</v>
      </c>
      <c r="C85" s="99">
        <f>161.519</f>
        <v>161.51900000000001</v>
      </c>
    </row>
    <row r="86" spans="1:3" ht="24" customHeight="1" x14ac:dyDescent="0.25">
      <c r="A86" s="23" t="s">
        <v>281</v>
      </c>
      <c r="B86" s="36" t="s">
        <v>101</v>
      </c>
      <c r="C86" s="99">
        <f>103.143</f>
        <v>103.143</v>
      </c>
    </row>
    <row r="87" spans="1:3" ht="24" customHeight="1" x14ac:dyDescent="0.25">
      <c r="A87" s="23" t="s">
        <v>282</v>
      </c>
      <c r="B87" s="36" t="s">
        <v>102</v>
      </c>
      <c r="C87" s="99">
        <f>186.985+1.261</f>
        <v>188.24600000000001</v>
      </c>
    </row>
    <row r="88" spans="1:3" ht="24" customHeight="1" x14ac:dyDescent="0.25">
      <c r="A88" s="23" t="s">
        <v>283</v>
      </c>
      <c r="B88" s="36" t="s">
        <v>103</v>
      </c>
      <c r="C88" s="99">
        <f>135.784</f>
        <v>135.78399999999999</v>
      </c>
    </row>
    <row r="89" spans="1:3" ht="24" customHeight="1" x14ac:dyDescent="0.25">
      <c r="A89" s="23" t="s">
        <v>289</v>
      </c>
      <c r="B89" s="36" t="s">
        <v>104</v>
      </c>
      <c r="C89" s="99">
        <f>358.579</f>
        <v>358.57900000000001</v>
      </c>
    </row>
    <row r="90" spans="1:3" ht="30" customHeight="1" x14ac:dyDescent="0.25">
      <c r="A90" s="24"/>
      <c r="B90" s="74" t="s">
        <v>74</v>
      </c>
      <c r="C90" s="42">
        <f>SUM(C63:C89)</f>
        <v>6084.107</v>
      </c>
    </row>
    <row r="91" spans="1:3" ht="24" customHeight="1" x14ac:dyDescent="0.25">
      <c r="A91" s="29" t="s">
        <v>80</v>
      </c>
      <c r="B91" s="242" t="s">
        <v>314</v>
      </c>
      <c r="C91" s="242"/>
    </row>
    <row r="92" spans="1:3" s="12" customFormat="1" ht="24" customHeight="1" x14ac:dyDescent="0.25">
      <c r="A92" s="23" t="s">
        <v>37</v>
      </c>
      <c r="B92" s="75" t="s">
        <v>113</v>
      </c>
      <c r="C92" s="99">
        <f>4850.598-8.264</f>
        <v>4842.3339999999998</v>
      </c>
    </row>
    <row r="93" spans="1:3" s="12" customFormat="1" ht="24" customHeight="1" x14ac:dyDescent="0.25">
      <c r="A93" s="23" t="s">
        <v>38</v>
      </c>
      <c r="B93" s="75" t="s">
        <v>105</v>
      </c>
      <c r="C93" s="99">
        <f>2209.362+8.264</f>
        <v>2217.6260000000002</v>
      </c>
    </row>
    <row r="94" spans="1:3" ht="24" customHeight="1" x14ac:dyDescent="0.25">
      <c r="A94" s="23" t="s">
        <v>39</v>
      </c>
      <c r="B94" s="73" t="s">
        <v>125</v>
      </c>
      <c r="C94" s="99">
        <f>1.9</f>
        <v>1.9</v>
      </c>
    </row>
    <row r="95" spans="1:3" ht="24" customHeight="1" x14ac:dyDescent="0.25">
      <c r="A95" s="23" t="s">
        <v>40</v>
      </c>
      <c r="B95" s="73" t="s">
        <v>71</v>
      </c>
      <c r="C95" s="99">
        <f>12</f>
        <v>12</v>
      </c>
    </row>
    <row r="96" spans="1:3" ht="33.75" customHeight="1" x14ac:dyDescent="0.25">
      <c r="A96" s="23" t="s">
        <v>41</v>
      </c>
      <c r="B96" s="73" t="s">
        <v>97</v>
      </c>
      <c r="C96" s="99">
        <f>16</f>
        <v>16</v>
      </c>
    </row>
    <row r="97" spans="1:3" ht="21.75" customHeight="1" x14ac:dyDescent="0.25">
      <c r="A97" s="23" t="s">
        <v>42</v>
      </c>
      <c r="B97" s="73" t="s">
        <v>293</v>
      </c>
      <c r="C97" s="99">
        <f>6</f>
        <v>6</v>
      </c>
    </row>
    <row r="98" spans="1:3" ht="24" customHeight="1" x14ac:dyDescent="0.25">
      <c r="A98" s="23" t="s">
        <v>43</v>
      </c>
      <c r="B98" s="73" t="s">
        <v>72</v>
      </c>
      <c r="C98" s="99">
        <f>40</f>
        <v>40</v>
      </c>
    </row>
    <row r="99" spans="1:3" ht="24" customHeight="1" x14ac:dyDescent="0.25">
      <c r="A99" s="23" t="s">
        <v>44</v>
      </c>
      <c r="B99" s="30" t="s">
        <v>73</v>
      </c>
      <c r="C99" s="99">
        <f>4.5</f>
        <v>4.5</v>
      </c>
    </row>
    <row r="100" spans="1:3" ht="24" customHeight="1" x14ac:dyDescent="0.25">
      <c r="A100" s="23" t="s">
        <v>92</v>
      </c>
      <c r="B100" s="30" t="s">
        <v>10</v>
      </c>
      <c r="C100" s="99">
        <f>4.5</f>
        <v>4.5</v>
      </c>
    </row>
    <row r="101" spans="1:3" ht="24" customHeight="1" x14ac:dyDescent="0.25">
      <c r="A101" s="23" t="s">
        <v>290</v>
      </c>
      <c r="B101" s="30" t="s">
        <v>327</v>
      </c>
      <c r="C101" s="99">
        <f>284.67</f>
        <v>284.67</v>
      </c>
    </row>
    <row r="102" spans="1:3" ht="24" customHeight="1" x14ac:dyDescent="0.25">
      <c r="A102" s="23" t="s">
        <v>339</v>
      </c>
      <c r="B102" s="82" t="s">
        <v>247</v>
      </c>
      <c r="C102" s="99">
        <f>19.833</f>
        <v>19.832999999999998</v>
      </c>
    </row>
    <row r="103" spans="1:3" ht="33.75" customHeight="1" x14ac:dyDescent="0.25">
      <c r="A103" s="23" t="s">
        <v>340</v>
      </c>
      <c r="B103" s="71" t="s">
        <v>106</v>
      </c>
      <c r="C103" s="99">
        <f>56.867</f>
        <v>56.866999999999997</v>
      </c>
    </row>
    <row r="104" spans="1:3" ht="24" customHeight="1" x14ac:dyDescent="0.25">
      <c r="A104" s="23" t="s">
        <v>341</v>
      </c>
      <c r="B104" s="30" t="s">
        <v>291</v>
      </c>
      <c r="C104" s="99">
        <f>45.862-4.062</f>
        <v>41.800000000000004</v>
      </c>
    </row>
    <row r="105" spans="1:3" ht="24" customHeight="1" x14ac:dyDescent="0.25">
      <c r="A105" s="23" t="s">
        <v>342</v>
      </c>
      <c r="B105" s="174" t="s">
        <v>102</v>
      </c>
      <c r="C105" s="99">
        <f>10.479</f>
        <v>10.478999999999999</v>
      </c>
    </row>
    <row r="106" spans="1:3" ht="24" customHeight="1" x14ac:dyDescent="0.25">
      <c r="A106" s="23" t="s">
        <v>343</v>
      </c>
      <c r="B106" s="17" t="s">
        <v>115</v>
      </c>
      <c r="C106" s="99">
        <f>28</f>
        <v>28</v>
      </c>
    </row>
    <row r="107" spans="1:3" ht="24" customHeight="1" x14ac:dyDescent="0.25">
      <c r="A107" s="23" t="s">
        <v>344</v>
      </c>
      <c r="B107" s="77" t="s">
        <v>163</v>
      </c>
      <c r="C107" s="99">
        <f>71.015</f>
        <v>71.015000000000001</v>
      </c>
    </row>
    <row r="108" spans="1:3" ht="24" customHeight="1" x14ac:dyDescent="0.25">
      <c r="A108" s="23" t="s">
        <v>345</v>
      </c>
      <c r="B108" s="30" t="s">
        <v>116</v>
      </c>
      <c r="C108" s="99">
        <f>20</f>
        <v>20</v>
      </c>
    </row>
    <row r="109" spans="1:3" ht="24" customHeight="1" x14ac:dyDescent="0.25">
      <c r="A109" s="23" t="s">
        <v>346</v>
      </c>
      <c r="B109" s="30" t="s">
        <v>121</v>
      </c>
      <c r="C109" s="99">
        <f>14.3</f>
        <v>14.3</v>
      </c>
    </row>
    <row r="110" spans="1:3" ht="24" customHeight="1" x14ac:dyDescent="0.25">
      <c r="A110" s="23" t="s">
        <v>347</v>
      </c>
      <c r="B110" s="71" t="s">
        <v>123</v>
      </c>
      <c r="C110" s="99">
        <f>5.796</f>
        <v>5.7960000000000003</v>
      </c>
    </row>
    <row r="111" spans="1:3" ht="24" customHeight="1" x14ac:dyDescent="0.25">
      <c r="A111" s="23" t="s">
        <v>348</v>
      </c>
      <c r="B111" s="71" t="s">
        <v>127</v>
      </c>
      <c r="C111" s="99">
        <f>28.355</f>
        <v>28.355</v>
      </c>
    </row>
    <row r="112" spans="1:3" ht="24" customHeight="1" x14ac:dyDescent="0.25">
      <c r="A112" s="24"/>
      <c r="B112" s="35" t="s">
        <v>74</v>
      </c>
      <c r="C112" s="42">
        <f>SUM(C92:C111)</f>
        <v>7725.9750000000004</v>
      </c>
    </row>
    <row r="113" spans="1:3" s="12" customFormat="1" ht="21.75" customHeight="1" x14ac:dyDescent="0.25">
      <c r="A113" s="29" t="s">
        <v>81</v>
      </c>
      <c r="B113" s="247" t="s">
        <v>361</v>
      </c>
      <c r="C113" s="248"/>
    </row>
    <row r="114" spans="1:3" s="12" customFormat="1" ht="21.75" customHeight="1" x14ac:dyDescent="0.25">
      <c r="A114" s="23" t="s">
        <v>45</v>
      </c>
      <c r="B114" s="32" t="s">
        <v>113</v>
      </c>
      <c r="C114" s="99">
        <f>496.583</f>
        <v>496.58300000000003</v>
      </c>
    </row>
    <row r="115" spans="1:3" s="12" customFormat="1" ht="21.75" customHeight="1" x14ac:dyDescent="0.25">
      <c r="A115" s="23" t="s">
        <v>46</v>
      </c>
      <c r="B115" s="30" t="s">
        <v>115</v>
      </c>
      <c r="C115" s="99">
        <f>580.8</f>
        <v>580.79999999999995</v>
      </c>
    </row>
    <row r="116" spans="1:3" s="12" customFormat="1" ht="21.75" customHeight="1" x14ac:dyDescent="0.25">
      <c r="A116" s="23" t="s">
        <v>47</v>
      </c>
      <c r="B116" s="30" t="s">
        <v>163</v>
      </c>
      <c r="C116" s="99">
        <f>85.9</f>
        <v>85.9</v>
      </c>
    </row>
    <row r="117" spans="1:3" s="12" customFormat="1" ht="21.75" customHeight="1" x14ac:dyDescent="0.25">
      <c r="A117" s="23" t="s">
        <v>48</v>
      </c>
      <c r="B117" s="30" t="s">
        <v>116</v>
      </c>
      <c r="C117" s="99">
        <f>111.6</f>
        <v>111.6</v>
      </c>
    </row>
    <row r="118" spans="1:3" s="12" customFormat="1" ht="21.75" customHeight="1" x14ac:dyDescent="0.25">
      <c r="A118" s="23" t="s">
        <v>93</v>
      </c>
      <c r="B118" s="30" t="s">
        <v>126</v>
      </c>
      <c r="C118" s="99">
        <f>38.07</f>
        <v>38.07</v>
      </c>
    </row>
    <row r="119" spans="1:3" s="12" customFormat="1" ht="21.75" customHeight="1" x14ac:dyDescent="0.25">
      <c r="A119" s="23" t="s">
        <v>94</v>
      </c>
      <c r="B119" s="30" t="s">
        <v>119</v>
      </c>
      <c r="C119" s="99">
        <f>61.65</f>
        <v>61.65</v>
      </c>
    </row>
    <row r="120" spans="1:3" s="12" customFormat="1" ht="21.75" customHeight="1" x14ac:dyDescent="0.25">
      <c r="A120" s="23" t="s">
        <v>95</v>
      </c>
      <c r="B120" s="30" t="s">
        <v>120</v>
      </c>
      <c r="C120" s="99">
        <f>32.46</f>
        <v>32.46</v>
      </c>
    </row>
    <row r="121" spans="1:3" s="12" customFormat="1" ht="21.75" customHeight="1" x14ac:dyDescent="0.25">
      <c r="A121" s="23" t="s">
        <v>52</v>
      </c>
      <c r="B121" s="30" t="s">
        <v>121</v>
      </c>
      <c r="C121" s="99">
        <f>39.349</f>
        <v>39.348999999999997</v>
      </c>
    </row>
    <row r="122" spans="1:3" s="12" customFormat="1" ht="21.75" customHeight="1" x14ac:dyDescent="0.25">
      <c r="A122" s="23" t="s">
        <v>53</v>
      </c>
      <c r="B122" s="30" t="s">
        <v>122</v>
      </c>
      <c r="C122" s="99">
        <f>123</f>
        <v>123</v>
      </c>
    </row>
    <row r="123" spans="1:3" s="12" customFormat="1" ht="21.75" customHeight="1" x14ac:dyDescent="0.25">
      <c r="A123" s="23" t="s">
        <v>54</v>
      </c>
      <c r="B123" s="30" t="s">
        <v>123</v>
      </c>
      <c r="C123" s="99">
        <f>83.5</f>
        <v>83.5</v>
      </c>
    </row>
    <row r="124" spans="1:3" s="12" customFormat="1" ht="21.75" customHeight="1" x14ac:dyDescent="0.25">
      <c r="A124" s="23" t="s">
        <v>55</v>
      </c>
      <c r="B124" s="30" t="s">
        <v>164</v>
      </c>
      <c r="C124" s="99">
        <f>80.8</f>
        <v>80.8</v>
      </c>
    </row>
    <row r="125" spans="1:3" s="12" customFormat="1" ht="21.75" customHeight="1" x14ac:dyDescent="0.25">
      <c r="A125" s="23" t="s">
        <v>56</v>
      </c>
      <c r="B125" s="30" t="s">
        <v>127</v>
      </c>
      <c r="C125" s="99">
        <f>68.3</f>
        <v>68.3</v>
      </c>
    </row>
    <row r="126" spans="1:3" s="12" customFormat="1" ht="18" customHeight="1" x14ac:dyDescent="0.25">
      <c r="A126" s="61"/>
      <c r="B126" s="35" t="s">
        <v>74</v>
      </c>
      <c r="C126" s="42">
        <f>SUM(C114:C125)</f>
        <v>1802.0119999999999</v>
      </c>
    </row>
    <row r="127" spans="1:3" ht="24" customHeight="1" x14ac:dyDescent="0.25">
      <c r="A127" s="29" t="s">
        <v>365</v>
      </c>
      <c r="B127" s="247" t="s">
        <v>323</v>
      </c>
      <c r="C127" s="248"/>
    </row>
    <row r="128" spans="1:3" ht="24" customHeight="1" x14ac:dyDescent="0.25">
      <c r="A128" s="23" t="s">
        <v>49</v>
      </c>
      <c r="B128" s="32" t="s">
        <v>113</v>
      </c>
      <c r="C128" s="40">
        <f>4424.537</f>
        <v>4424.5370000000003</v>
      </c>
    </row>
    <row r="129" spans="1:3" ht="24" customHeight="1" x14ac:dyDescent="0.25">
      <c r="A129" s="23" t="s">
        <v>66</v>
      </c>
      <c r="B129" s="32" t="s">
        <v>102</v>
      </c>
      <c r="C129" s="40">
        <f>3.05</f>
        <v>3.05</v>
      </c>
    </row>
    <row r="130" spans="1:3" ht="24" customHeight="1" x14ac:dyDescent="0.25">
      <c r="A130" s="23" t="s">
        <v>67</v>
      </c>
      <c r="B130" s="30" t="s">
        <v>115</v>
      </c>
      <c r="C130" s="99">
        <f>569.101</f>
        <v>569.101</v>
      </c>
    </row>
    <row r="131" spans="1:3" ht="24" customHeight="1" x14ac:dyDescent="0.25">
      <c r="A131" s="23" t="s">
        <v>366</v>
      </c>
      <c r="B131" s="30" t="s">
        <v>163</v>
      </c>
      <c r="C131" s="99">
        <f>153.364</f>
        <v>153.364</v>
      </c>
    </row>
    <row r="132" spans="1:3" ht="24" customHeight="1" x14ac:dyDescent="0.25">
      <c r="A132" s="23" t="s">
        <v>367</v>
      </c>
      <c r="B132" s="30" t="s">
        <v>116</v>
      </c>
      <c r="C132" s="99">
        <f>195.264</f>
        <v>195.26400000000001</v>
      </c>
    </row>
    <row r="133" spans="1:3" ht="24" customHeight="1" x14ac:dyDescent="0.25">
      <c r="A133" s="23" t="s">
        <v>368</v>
      </c>
      <c r="B133" s="30" t="s">
        <v>126</v>
      </c>
      <c r="C133" s="99">
        <f>170.251</f>
        <v>170.251</v>
      </c>
    </row>
    <row r="134" spans="1:3" ht="24" customHeight="1" x14ac:dyDescent="0.25">
      <c r="A134" s="23" t="s">
        <v>369</v>
      </c>
      <c r="B134" s="30" t="s">
        <v>119</v>
      </c>
      <c r="C134" s="99">
        <f>206.617</f>
        <v>206.61699999999999</v>
      </c>
    </row>
    <row r="135" spans="1:3" ht="24" customHeight="1" x14ac:dyDescent="0.25">
      <c r="A135" s="23" t="s">
        <v>370</v>
      </c>
      <c r="B135" s="30" t="s">
        <v>120</v>
      </c>
      <c r="C135" s="99">
        <f>99.924</f>
        <v>99.924000000000007</v>
      </c>
    </row>
    <row r="136" spans="1:3" ht="24" customHeight="1" x14ac:dyDescent="0.25">
      <c r="A136" s="23" t="s">
        <v>371</v>
      </c>
      <c r="B136" s="30" t="s">
        <v>121</v>
      </c>
      <c r="C136" s="99">
        <f>92.12</f>
        <v>92.12</v>
      </c>
    </row>
    <row r="137" spans="1:3" ht="24" customHeight="1" x14ac:dyDescent="0.25">
      <c r="A137" s="23" t="s">
        <v>372</v>
      </c>
      <c r="B137" s="30" t="s">
        <v>122</v>
      </c>
      <c r="C137" s="99">
        <f>260.113</f>
        <v>260.113</v>
      </c>
    </row>
    <row r="138" spans="1:3" ht="24" customHeight="1" x14ac:dyDescent="0.25">
      <c r="A138" s="23" t="s">
        <v>373</v>
      </c>
      <c r="B138" s="30" t="s">
        <v>123</v>
      </c>
      <c r="C138" s="99">
        <f>282.139</f>
        <v>282.13900000000001</v>
      </c>
    </row>
    <row r="139" spans="1:3" ht="24" customHeight="1" x14ac:dyDescent="0.25">
      <c r="A139" s="23" t="s">
        <v>374</v>
      </c>
      <c r="B139" s="30" t="s">
        <v>164</v>
      </c>
      <c r="C139" s="99">
        <f>244.827</f>
        <v>244.827</v>
      </c>
    </row>
    <row r="140" spans="1:3" ht="24" customHeight="1" x14ac:dyDescent="0.25">
      <c r="A140" s="23" t="s">
        <v>424</v>
      </c>
      <c r="B140" s="30" t="s">
        <v>127</v>
      </c>
      <c r="C140" s="99">
        <f>265.43</f>
        <v>265.43</v>
      </c>
    </row>
    <row r="141" spans="1:3" ht="18" customHeight="1" x14ac:dyDescent="0.25">
      <c r="A141" s="24"/>
      <c r="B141" s="35" t="s">
        <v>74</v>
      </c>
      <c r="C141" s="42">
        <f>SUM(C128:C140)</f>
        <v>6966.737000000001</v>
      </c>
    </row>
    <row r="142" spans="1:3" s="12" customFormat="1" ht="24" customHeight="1" x14ac:dyDescent="0.25">
      <c r="A142" s="241" t="s">
        <v>133</v>
      </c>
      <c r="B142" s="227"/>
      <c r="C142" s="125">
        <f>C141+C126+C112+C90+C61</f>
        <v>41752.569000000003</v>
      </c>
    </row>
    <row r="143" spans="1:3" ht="34.5" customHeight="1" x14ac:dyDescent="0.25">
      <c r="A143" s="32"/>
      <c r="B143" s="118"/>
      <c r="C143" s="119"/>
    </row>
    <row r="144" spans="1:3" ht="34.5" customHeight="1" x14ac:dyDescent="0.25">
      <c r="B144" s="76"/>
      <c r="C144" s="79"/>
    </row>
    <row r="145" spans="2:3" ht="34.5" customHeight="1" x14ac:dyDescent="0.25">
      <c r="B145" s="76"/>
      <c r="C145" s="79"/>
    </row>
    <row r="146" spans="2:3" ht="34.5" customHeight="1" x14ac:dyDescent="0.25">
      <c r="B146" s="77"/>
      <c r="C146" s="80"/>
    </row>
    <row r="147" spans="2:3" ht="34.5" customHeight="1" x14ac:dyDescent="0.25">
      <c r="B147" s="77"/>
      <c r="C147" s="80"/>
    </row>
    <row r="148" spans="2:3" ht="34.5" customHeight="1" x14ac:dyDescent="0.25">
      <c r="B148" s="77"/>
      <c r="C148" s="80"/>
    </row>
    <row r="149" spans="2:3" ht="34.5" customHeight="1" x14ac:dyDescent="0.25">
      <c r="B149" s="77"/>
      <c r="C149" s="80"/>
    </row>
    <row r="150" spans="2:3" ht="34.5" customHeight="1" x14ac:dyDescent="0.25">
      <c r="B150" s="77"/>
      <c r="C150" s="80"/>
    </row>
    <row r="151" spans="2:3" ht="34.5" customHeight="1" x14ac:dyDescent="0.25">
      <c r="B151" s="77"/>
      <c r="C151" s="80"/>
    </row>
    <row r="152" spans="2:3" ht="58.5" customHeight="1" x14ac:dyDescent="0.25"/>
  </sheetData>
  <mergeCells count="9">
    <mergeCell ref="C5:C7"/>
    <mergeCell ref="A10:C10"/>
    <mergeCell ref="A9:C9"/>
    <mergeCell ref="A142:B142"/>
    <mergeCell ref="B91:C91"/>
    <mergeCell ref="B113:C113"/>
    <mergeCell ref="B127:C127"/>
    <mergeCell ref="B14:C14"/>
    <mergeCell ref="B62:C62"/>
  </mergeCells>
  <phoneticPr fontId="9" type="noConversion"/>
  <pageMargins left="0.35433070866141736" right="0" top="0.39370078740157483" bottom="0.39370078740157483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38"/>
  <sheetViews>
    <sheetView showZeros="0" workbookViewId="0">
      <selection activeCell="D134" sqref="D134"/>
    </sheetView>
  </sheetViews>
  <sheetFormatPr defaultColWidth="9.140625" defaultRowHeight="15.75" x14ac:dyDescent="0.25"/>
  <cols>
    <col min="1" max="1" width="5.42578125" style="1" customWidth="1"/>
    <col min="2" max="2" width="47.42578125" style="1" customWidth="1"/>
    <col min="3" max="3" width="39.7109375" style="1" customWidth="1"/>
    <col min="4" max="4" width="33.140625" style="10" customWidth="1"/>
    <col min="5" max="16384" width="9.140625" style="1"/>
  </cols>
  <sheetData>
    <row r="1" spans="1:5" ht="15.75" customHeight="1" x14ac:dyDescent="0.25">
      <c r="D1" s="2" t="s">
        <v>77</v>
      </c>
    </row>
    <row r="2" spans="1:5" ht="15.75" customHeight="1" x14ac:dyDescent="0.25">
      <c r="D2" s="220" t="s">
        <v>473</v>
      </c>
    </row>
    <row r="3" spans="1:5" ht="15.75" customHeight="1" x14ac:dyDescent="0.25">
      <c r="D3" s="220"/>
    </row>
    <row r="4" spans="1:5" ht="15.75" customHeight="1" x14ac:dyDescent="0.25">
      <c r="D4" s="220"/>
    </row>
    <row r="5" spans="1:5" ht="15.75" hidden="1" customHeight="1" x14ac:dyDescent="0.25">
      <c r="D5" s="220" t="s">
        <v>470</v>
      </c>
      <c r="E5" s="2"/>
    </row>
    <row r="6" spans="1:5" ht="15.75" hidden="1" customHeight="1" x14ac:dyDescent="0.25">
      <c r="D6" s="220"/>
      <c r="E6" s="2"/>
    </row>
    <row r="7" spans="1:5" ht="15.75" hidden="1" customHeight="1" x14ac:dyDescent="0.25">
      <c r="D7" s="220"/>
    </row>
    <row r="8" spans="1:5" ht="15.75" customHeight="1" x14ac:dyDescent="0.25">
      <c r="D8" s="181"/>
    </row>
    <row r="9" spans="1:5" ht="15.75" customHeight="1" x14ac:dyDescent="0.25">
      <c r="B9" s="221" t="s">
        <v>480</v>
      </c>
      <c r="C9" s="221"/>
      <c r="D9" s="221"/>
    </row>
    <row r="10" spans="1:5" ht="15.75" customHeight="1" x14ac:dyDescent="0.25">
      <c r="B10" s="279" t="s">
        <v>268</v>
      </c>
      <c r="C10" s="279"/>
      <c r="D10" s="279"/>
    </row>
    <row r="11" spans="1:5" ht="15.75" customHeight="1" x14ac:dyDescent="0.25">
      <c r="B11" s="150"/>
      <c r="C11" s="150"/>
      <c r="D11" s="150"/>
    </row>
    <row r="12" spans="1:5" ht="15.75" customHeight="1" x14ac:dyDescent="0.25">
      <c r="B12" s="10"/>
      <c r="C12" s="6"/>
      <c r="D12" s="152" t="s">
        <v>271</v>
      </c>
    </row>
    <row r="13" spans="1:5" ht="42.75" customHeight="1" x14ac:dyDescent="0.25">
      <c r="A13" s="155" t="s">
        <v>232</v>
      </c>
      <c r="B13" s="151" t="s">
        <v>11</v>
      </c>
      <c r="C13" s="151" t="s">
        <v>96</v>
      </c>
      <c r="D13" s="149" t="s">
        <v>74</v>
      </c>
    </row>
    <row r="14" spans="1:5" ht="24" customHeight="1" x14ac:dyDescent="0.25">
      <c r="A14" s="19" t="s">
        <v>78</v>
      </c>
      <c r="B14" s="247" t="s">
        <v>313</v>
      </c>
      <c r="C14" s="248"/>
      <c r="D14" s="248"/>
    </row>
    <row r="15" spans="1:5" ht="42" customHeight="1" x14ac:dyDescent="0.25">
      <c r="A15" s="21" t="s">
        <v>69</v>
      </c>
      <c r="B15" s="84" t="s">
        <v>207</v>
      </c>
      <c r="C15" s="259" t="s">
        <v>113</v>
      </c>
      <c r="D15" s="207">
        <v>0.9</v>
      </c>
    </row>
    <row r="16" spans="1:5" ht="24" customHeight="1" x14ac:dyDescent="0.25">
      <c r="A16" s="21" t="s">
        <v>13</v>
      </c>
      <c r="B16" s="167" t="s">
        <v>295</v>
      </c>
      <c r="C16" s="260"/>
      <c r="D16" s="208">
        <v>27.4</v>
      </c>
    </row>
    <row r="17" spans="1:4" ht="24" customHeight="1" x14ac:dyDescent="0.25">
      <c r="A17" s="21" t="s">
        <v>14</v>
      </c>
      <c r="B17" s="71" t="s">
        <v>294</v>
      </c>
      <c r="C17" s="260"/>
      <c r="D17" s="208">
        <v>10.73</v>
      </c>
    </row>
    <row r="18" spans="1:4" ht="33" customHeight="1" x14ac:dyDescent="0.25">
      <c r="A18" s="21" t="s">
        <v>70</v>
      </c>
      <c r="B18" s="71" t="s">
        <v>296</v>
      </c>
      <c r="C18" s="260"/>
      <c r="D18" s="208">
        <v>0.5</v>
      </c>
    </row>
    <row r="19" spans="1:4" ht="24" customHeight="1" x14ac:dyDescent="0.25">
      <c r="A19" s="21" t="s">
        <v>15</v>
      </c>
      <c r="B19" s="71" t="s">
        <v>376</v>
      </c>
      <c r="C19" s="260"/>
      <c r="D19" s="208">
        <v>49.7</v>
      </c>
    </row>
    <row r="20" spans="1:4" ht="53.25" customHeight="1" x14ac:dyDescent="0.25">
      <c r="A20" s="21" t="s">
        <v>16</v>
      </c>
      <c r="B20" s="71" t="s">
        <v>12</v>
      </c>
      <c r="C20" s="260"/>
      <c r="D20" s="208">
        <v>2.8</v>
      </c>
    </row>
    <row r="21" spans="1:4" s="3" customFormat="1" ht="33.75" customHeight="1" x14ac:dyDescent="0.25">
      <c r="A21" s="126" t="s">
        <v>17</v>
      </c>
      <c r="B21" s="127" t="s">
        <v>253</v>
      </c>
      <c r="C21" s="260"/>
      <c r="D21" s="208">
        <v>60.5</v>
      </c>
    </row>
    <row r="22" spans="1:4" s="3" customFormat="1" ht="24" customHeight="1" x14ac:dyDescent="0.25">
      <c r="A22" s="96" t="s">
        <v>18</v>
      </c>
      <c r="B22" s="71" t="s">
        <v>297</v>
      </c>
      <c r="C22" s="260"/>
      <c r="D22" s="208">
        <v>13</v>
      </c>
    </row>
    <row r="23" spans="1:4" s="3" customFormat="1" ht="24" customHeight="1" x14ac:dyDescent="0.25">
      <c r="A23" s="21" t="s">
        <v>19</v>
      </c>
      <c r="B23" s="71" t="s">
        <v>156</v>
      </c>
      <c r="C23" s="260"/>
      <c r="D23" s="208">
        <v>2.4</v>
      </c>
    </row>
    <row r="24" spans="1:4" s="3" customFormat="1" ht="24" customHeight="1" x14ac:dyDescent="0.25">
      <c r="A24" s="21" t="s">
        <v>20</v>
      </c>
      <c r="B24" s="30" t="s">
        <v>254</v>
      </c>
      <c r="C24" s="260"/>
      <c r="D24" s="208">
        <v>9</v>
      </c>
    </row>
    <row r="25" spans="1:4" s="3" customFormat="1" ht="66.75" customHeight="1" x14ac:dyDescent="0.25">
      <c r="A25" s="21" t="s">
        <v>21</v>
      </c>
      <c r="B25" s="30" t="s">
        <v>259</v>
      </c>
      <c r="C25" s="261"/>
      <c r="D25" s="215"/>
    </row>
    <row r="26" spans="1:4" s="12" customFormat="1" ht="45" hidden="1" customHeight="1" x14ac:dyDescent="0.25">
      <c r="A26" s="176" t="s">
        <v>22</v>
      </c>
      <c r="B26" s="137" t="s">
        <v>375</v>
      </c>
      <c r="C26" s="195" t="s">
        <v>113</v>
      </c>
      <c r="D26" s="40"/>
    </row>
    <row r="27" spans="1:4" s="12" customFormat="1" ht="45" customHeight="1" x14ac:dyDescent="0.25">
      <c r="A27" s="176" t="s">
        <v>22</v>
      </c>
      <c r="B27" s="137" t="s">
        <v>439</v>
      </c>
      <c r="C27" s="193" t="s">
        <v>113</v>
      </c>
      <c r="D27" s="40">
        <v>44.304000000000002</v>
      </c>
    </row>
    <row r="28" spans="1:4" ht="24" customHeight="1" x14ac:dyDescent="0.25">
      <c r="A28" s="21" t="s">
        <v>23</v>
      </c>
      <c r="B28" s="30" t="s">
        <v>302</v>
      </c>
      <c r="C28" s="194" t="s">
        <v>57</v>
      </c>
      <c r="D28" s="208">
        <v>1069.5</v>
      </c>
    </row>
    <row r="29" spans="1:4" ht="47.25" hidden="1" customHeight="1" x14ac:dyDescent="0.25">
      <c r="A29" s="21" t="s">
        <v>109</v>
      </c>
      <c r="B29" s="9"/>
      <c r="C29" s="196"/>
      <c r="D29" s="208"/>
    </row>
    <row r="30" spans="1:4" s="12" customFormat="1" ht="24" customHeight="1" x14ac:dyDescent="0.25">
      <c r="A30" s="24"/>
      <c r="B30" s="280" t="s">
        <v>74</v>
      </c>
      <c r="C30" s="281"/>
      <c r="D30" s="42">
        <f>SUM(D15:D29)</f>
        <v>1290.7339999999999</v>
      </c>
    </row>
    <row r="31" spans="1:4" s="12" customFormat="1" ht="24" customHeight="1" x14ac:dyDescent="0.25">
      <c r="A31" s="29" t="s">
        <v>378</v>
      </c>
      <c r="B31" s="247" t="s">
        <v>326</v>
      </c>
      <c r="C31" s="248"/>
      <c r="D31" s="248"/>
    </row>
    <row r="32" spans="1:4" s="12" customFormat="1" ht="43.5" customHeight="1" x14ac:dyDescent="0.25">
      <c r="A32" s="23" t="s">
        <v>379</v>
      </c>
      <c r="B32" s="28" t="s">
        <v>61</v>
      </c>
      <c r="C32" s="187" t="s">
        <v>244</v>
      </c>
      <c r="D32" s="40">
        <v>30.3</v>
      </c>
    </row>
    <row r="33" spans="1:4" s="12" customFormat="1" ht="43.5" customHeight="1" x14ac:dyDescent="0.25">
      <c r="A33" s="23" t="s">
        <v>26</v>
      </c>
      <c r="B33" s="28" t="s">
        <v>62</v>
      </c>
      <c r="C33" s="197" t="s">
        <v>327</v>
      </c>
      <c r="D33" s="40">
        <v>435.6</v>
      </c>
    </row>
    <row r="34" spans="1:4" s="12" customFormat="1" ht="24" customHeight="1" x14ac:dyDescent="0.25">
      <c r="A34" s="270" t="s">
        <v>380</v>
      </c>
      <c r="B34" s="259" t="s">
        <v>248</v>
      </c>
      <c r="C34" s="183" t="s">
        <v>113</v>
      </c>
      <c r="D34" s="40">
        <v>200.61699999999999</v>
      </c>
    </row>
    <row r="35" spans="1:4" s="12" customFormat="1" ht="24" customHeight="1" x14ac:dyDescent="0.25">
      <c r="A35" s="271"/>
      <c r="B35" s="260"/>
      <c r="C35" s="198" t="s">
        <v>99</v>
      </c>
      <c r="D35" s="209">
        <v>3</v>
      </c>
    </row>
    <row r="36" spans="1:4" s="12" customFormat="1" ht="31.5" customHeight="1" x14ac:dyDescent="0.25">
      <c r="A36" s="272"/>
      <c r="B36" s="261"/>
      <c r="C36" s="198" t="s">
        <v>291</v>
      </c>
      <c r="D36" s="209">
        <v>8.32</v>
      </c>
    </row>
    <row r="37" spans="1:4" s="12" customFormat="1" ht="43.5" customHeight="1" x14ac:dyDescent="0.25">
      <c r="A37" s="23" t="s">
        <v>28</v>
      </c>
      <c r="B37" s="30" t="s">
        <v>245</v>
      </c>
      <c r="C37" s="183" t="s">
        <v>432</v>
      </c>
      <c r="D37" s="40">
        <v>34.863999999999997</v>
      </c>
    </row>
    <row r="38" spans="1:4" s="12" customFormat="1" ht="33.75" customHeight="1" x14ac:dyDescent="0.25">
      <c r="A38" s="265" t="s">
        <v>29</v>
      </c>
      <c r="B38" s="282" t="s">
        <v>395</v>
      </c>
      <c r="C38" s="179" t="s">
        <v>125</v>
      </c>
      <c r="D38" s="7"/>
    </row>
    <row r="39" spans="1:4" s="12" customFormat="1" ht="33.75" customHeight="1" x14ac:dyDescent="0.25">
      <c r="A39" s="266"/>
      <c r="B39" s="282"/>
      <c r="C39" s="179" t="s">
        <v>71</v>
      </c>
      <c r="D39" s="7"/>
    </row>
    <row r="40" spans="1:4" s="12" customFormat="1" ht="33.75" customHeight="1" x14ac:dyDescent="0.25">
      <c r="A40" s="266"/>
      <c r="B40" s="282"/>
      <c r="C40" s="179" t="s">
        <v>97</v>
      </c>
      <c r="D40" s="7"/>
    </row>
    <row r="41" spans="1:4" s="12" customFormat="1" ht="33.75" customHeight="1" x14ac:dyDescent="0.25">
      <c r="A41" s="266"/>
      <c r="B41" s="282"/>
      <c r="C41" s="179" t="s">
        <v>72</v>
      </c>
      <c r="D41" s="7"/>
    </row>
    <row r="42" spans="1:4" s="12" customFormat="1" ht="33.75" customHeight="1" x14ac:dyDescent="0.25">
      <c r="A42" s="266"/>
      <c r="B42" s="282"/>
      <c r="C42" s="187" t="s">
        <v>244</v>
      </c>
      <c r="D42" s="7"/>
    </row>
    <row r="43" spans="1:4" s="12" customFormat="1" ht="33.75" customHeight="1" x14ac:dyDescent="0.25">
      <c r="A43" s="267"/>
      <c r="B43" s="282"/>
      <c r="C43" s="199" t="s">
        <v>291</v>
      </c>
      <c r="D43" s="7"/>
    </row>
    <row r="44" spans="1:4" s="12" customFormat="1" ht="58.5" customHeight="1" x14ac:dyDescent="0.25">
      <c r="A44" s="180" t="s">
        <v>30</v>
      </c>
      <c r="B44" s="187" t="s">
        <v>398</v>
      </c>
      <c r="C44" s="197" t="s">
        <v>327</v>
      </c>
      <c r="D44" s="40">
        <v>62.356000000000002</v>
      </c>
    </row>
    <row r="45" spans="1:4" s="12" customFormat="1" ht="33" customHeight="1" x14ac:dyDescent="0.25">
      <c r="A45" s="265" t="s">
        <v>31</v>
      </c>
      <c r="B45" s="275" t="s">
        <v>441</v>
      </c>
      <c r="C45" s="193" t="s">
        <v>113</v>
      </c>
      <c r="D45" s="40">
        <v>1.7</v>
      </c>
    </row>
    <row r="46" spans="1:4" s="12" customFormat="1" ht="35.25" customHeight="1" x14ac:dyDescent="0.25">
      <c r="A46" s="266"/>
      <c r="B46" s="276"/>
      <c r="C46" s="204" t="s">
        <v>108</v>
      </c>
      <c r="D46" s="7">
        <v>3.4</v>
      </c>
    </row>
    <row r="47" spans="1:4" s="12" customFormat="1" ht="35.25" customHeight="1" x14ac:dyDescent="0.25">
      <c r="A47" s="266"/>
      <c r="B47" s="276"/>
      <c r="C47" s="204" t="s">
        <v>2</v>
      </c>
      <c r="D47" s="7">
        <v>1.7</v>
      </c>
    </row>
    <row r="48" spans="1:4" s="12" customFormat="1" ht="35.25" customHeight="1" x14ac:dyDescent="0.25">
      <c r="A48" s="266"/>
      <c r="B48" s="276"/>
      <c r="C48" s="204" t="s">
        <v>9</v>
      </c>
      <c r="D48" s="7">
        <v>1.7</v>
      </c>
    </row>
    <row r="49" spans="1:4" s="12" customFormat="1" ht="35.25" customHeight="1" x14ac:dyDescent="0.25">
      <c r="A49" s="266"/>
      <c r="B49" s="276"/>
      <c r="C49" s="204" t="s">
        <v>124</v>
      </c>
      <c r="D49" s="7">
        <v>5.0999999999999996</v>
      </c>
    </row>
    <row r="50" spans="1:4" s="12" customFormat="1" ht="35.25" customHeight="1" x14ac:dyDescent="0.25">
      <c r="A50" s="266"/>
      <c r="B50" s="276"/>
      <c r="C50" s="73" t="s">
        <v>75</v>
      </c>
      <c r="D50" s="7">
        <v>1.9</v>
      </c>
    </row>
    <row r="51" spans="1:4" s="12" customFormat="1" ht="35.25" customHeight="1" x14ac:dyDescent="0.25">
      <c r="A51" s="266"/>
      <c r="B51" s="276"/>
      <c r="C51" s="187" t="s">
        <v>125</v>
      </c>
      <c r="D51" s="7">
        <v>11.4</v>
      </c>
    </row>
    <row r="52" spans="1:4" s="12" customFormat="1" ht="35.25" customHeight="1" x14ac:dyDescent="0.25">
      <c r="A52" s="266"/>
      <c r="B52" s="276"/>
      <c r="C52" s="199" t="s">
        <v>71</v>
      </c>
      <c r="D52" s="7">
        <v>1.9</v>
      </c>
    </row>
    <row r="53" spans="1:4" s="12" customFormat="1" ht="35.25" customHeight="1" x14ac:dyDescent="0.25">
      <c r="A53" s="266"/>
      <c r="B53" s="276"/>
      <c r="C53" s="199" t="s">
        <v>97</v>
      </c>
      <c r="D53" s="7">
        <v>5.7</v>
      </c>
    </row>
    <row r="54" spans="1:4" s="12" customFormat="1" ht="35.25" customHeight="1" x14ac:dyDescent="0.25">
      <c r="A54" s="266"/>
      <c r="B54" s="276"/>
      <c r="C54" s="179" t="s">
        <v>293</v>
      </c>
      <c r="D54" s="7">
        <v>3.8</v>
      </c>
    </row>
    <row r="55" spans="1:4" s="12" customFormat="1" ht="35.25" customHeight="1" x14ac:dyDescent="0.25">
      <c r="A55" s="266"/>
      <c r="B55" s="276"/>
      <c r="C55" s="199" t="s">
        <v>72</v>
      </c>
      <c r="D55" s="40">
        <v>32</v>
      </c>
    </row>
    <row r="56" spans="1:4" s="12" customFormat="1" ht="35.25" customHeight="1" x14ac:dyDescent="0.25">
      <c r="A56" s="266"/>
      <c r="B56" s="276"/>
      <c r="C56" s="199" t="s">
        <v>327</v>
      </c>
      <c r="D56" s="40">
        <v>1.9</v>
      </c>
    </row>
    <row r="57" spans="1:4" s="12" customFormat="1" ht="35.25" customHeight="1" x14ac:dyDescent="0.25">
      <c r="A57" s="267"/>
      <c r="B57" s="277"/>
      <c r="C57" s="187" t="s">
        <v>244</v>
      </c>
      <c r="D57" s="40">
        <v>1.9</v>
      </c>
    </row>
    <row r="58" spans="1:4" s="12" customFormat="1" ht="35.25" customHeight="1" x14ac:dyDescent="0.25">
      <c r="A58" s="265" t="s">
        <v>32</v>
      </c>
      <c r="B58" s="273" t="s">
        <v>425</v>
      </c>
      <c r="C58" s="160" t="s">
        <v>71</v>
      </c>
      <c r="D58" s="18"/>
    </row>
    <row r="59" spans="1:4" s="12" customFormat="1" ht="35.25" customHeight="1" x14ac:dyDescent="0.25">
      <c r="A59" s="266"/>
      <c r="B59" s="274"/>
      <c r="C59" s="160" t="s">
        <v>97</v>
      </c>
      <c r="D59" s="41"/>
    </row>
    <row r="60" spans="1:4" s="12" customFormat="1" ht="35.25" customHeight="1" x14ac:dyDescent="0.25">
      <c r="A60" s="266"/>
      <c r="B60" s="274"/>
      <c r="C60" s="160" t="s">
        <v>72</v>
      </c>
      <c r="D60" s="41"/>
    </row>
    <row r="61" spans="1:4" s="12" customFormat="1" ht="35.25" customHeight="1" x14ac:dyDescent="0.25">
      <c r="A61" s="266"/>
      <c r="B61" s="274"/>
      <c r="C61" s="9" t="s">
        <v>73</v>
      </c>
      <c r="D61" s="41"/>
    </row>
    <row r="62" spans="1:4" s="12" customFormat="1" ht="35.25" customHeight="1" x14ac:dyDescent="0.25">
      <c r="A62" s="268" t="s">
        <v>33</v>
      </c>
      <c r="B62" s="269" t="s">
        <v>428</v>
      </c>
      <c r="C62" s="73" t="s">
        <v>108</v>
      </c>
      <c r="D62" s="40">
        <v>37.402999999999999</v>
      </c>
    </row>
    <row r="63" spans="1:4" s="12" customFormat="1" ht="35.25" customHeight="1" x14ac:dyDescent="0.25">
      <c r="A63" s="268"/>
      <c r="B63" s="269"/>
      <c r="C63" s="73" t="s">
        <v>2</v>
      </c>
      <c r="D63" s="40">
        <v>37.813000000000002</v>
      </c>
    </row>
    <row r="64" spans="1:4" s="12" customFormat="1" ht="35.25" customHeight="1" x14ac:dyDescent="0.25">
      <c r="A64" s="268"/>
      <c r="B64" s="269"/>
      <c r="C64" s="73" t="s">
        <v>9</v>
      </c>
      <c r="D64" s="40">
        <v>17.47</v>
      </c>
    </row>
    <row r="65" spans="1:4" s="12" customFormat="1" ht="35.25" customHeight="1" x14ac:dyDescent="0.25">
      <c r="A65" s="268"/>
      <c r="B65" s="269"/>
      <c r="C65" s="73" t="s">
        <v>124</v>
      </c>
      <c r="D65" s="40">
        <v>15.528</v>
      </c>
    </row>
    <row r="66" spans="1:4" s="12" customFormat="1" ht="35.25" customHeight="1" x14ac:dyDescent="0.25">
      <c r="A66" s="268"/>
      <c r="B66" s="269"/>
      <c r="C66" s="73" t="s">
        <v>75</v>
      </c>
      <c r="D66" s="40">
        <v>22.248000000000001</v>
      </c>
    </row>
    <row r="67" spans="1:4" s="12" customFormat="1" ht="35.25" customHeight="1" x14ac:dyDescent="0.25">
      <c r="A67" s="268"/>
      <c r="B67" s="269"/>
      <c r="C67" s="73" t="s">
        <v>155</v>
      </c>
      <c r="D67" s="40">
        <v>34.901000000000003</v>
      </c>
    </row>
    <row r="68" spans="1:4" s="12" customFormat="1" ht="35.25" customHeight="1" x14ac:dyDescent="0.25">
      <c r="A68" s="268"/>
      <c r="B68" s="269"/>
      <c r="C68" s="30" t="s">
        <v>97</v>
      </c>
      <c r="D68" s="40">
        <v>5.7489999999999997</v>
      </c>
    </row>
    <row r="69" spans="1:4" s="12" customFormat="1" ht="35.25" customHeight="1" x14ac:dyDescent="0.25">
      <c r="A69" s="268"/>
      <c r="B69" s="269"/>
      <c r="C69" s="30" t="s">
        <v>293</v>
      </c>
      <c r="D69" s="40">
        <v>9.2579999999999991</v>
      </c>
    </row>
    <row r="70" spans="1:4" s="12" customFormat="1" ht="35.25" customHeight="1" x14ac:dyDescent="0.25">
      <c r="A70" s="268"/>
      <c r="B70" s="269"/>
      <c r="C70" s="30" t="s">
        <v>72</v>
      </c>
      <c r="D70" s="40">
        <v>10.526</v>
      </c>
    </row>
    <row r="71" spans="1:4" s="12" customFormat="1" ht="35.25" customHeight="1" x14ac:dyDescent="0.25">
      <c r="A71" s="268"/>
      <c r="B71" s="269"/>
      <c r="C71" s="30" t="s">
        <v>73</v>
      </c>
      <c r="D71" s="40">
        <v>14.632999999999999</v>
      </c>
    </row>
    <row r="72" spans="1:4" s="12" customFormat="1" ht="35.25" customHeight="1" x14ac:dyDescent="0.25">
      <c r="A72" s="268"/>
      <c r="B72" s="269"/>
      <c r="C72" s="30" t="s">
        <v>10</v>
      </c>
      <c r="D72" s="40">
        <v>2.6880000000000002</v>
      </c>
    </row>
    <row r="73" spans="1:4" s="12" customFormat="1" ht="35.25" customHeight="1" x14ac:dyDescent="0.25">
      <c r="A73" s="268"/>
      <c r="B73" s="269"/>
      <c r="C73" s="30" t="s">
        <v>327</v>
      </c>
      <c r="D73" s="40">
        <v>4.1059999999999999</v>
      </c>
    </row>
    <row r="74" spans="1:4" s="12" customFormat="1" ht="35.25" customHeight="1" x14ac:dyDescent="0.25">
      <c r="A74" s="268"/>
      <c r="B74" s="269"/>
      <c r="C74" s="82" t="s">
        <v>247</v>
      </c>
      <c r="D74" s="40">
        <v>7.4660000000000002</v>
      </c>
    </row>
    <row r="75" spans="1:4" s="12" customFormat="1" ht="35.25" customHeight="1" x14ac:dyDescent="0.25">
      <c r="A75" s="268"/>
      <c r="B75" s="269"/>
      <c r="C75" s="30" t="s">
        <v>98</v>
      </c>
      <c r="D75" s="40">
        <v>108.81100000000001</v>
      </c>
    </row>
    <row r="76" spans="1:4" s="12" customFormat="1" ht="35.25" customHeight="1" x14ac:dyDescent="0.25">
      <c r="A76" s="268"/>
      <c r="B76" s="269"/>
      <c r="C76" s="30" t="s">
        <v>291</v>
      </c>
      <c r="D76" s="40">
        <v>32.4</v>
      </c>
    </row>
    <row r="77" spans="1:4" s="12" customFormat="1" ht="24" customHeight="1" x14ac:dyDescent="0.25">
      <c r="A77" s="24"/>
      <c r="B77" s="278" t="s">
        <v>76</v>
      </c>
      <c r="C77" s="258"/>
      <c r="D77" s="42">
        <f>SUM(D32:D76)</f>
        <v>1210.1570000000004</v>
      </c>
    </row>
    <row r="78" spans="1:4" ht="24" customHeight="1" x14ac:dyDescent="0.25">
      <c r="A78" s="29" t="s">
        <v>80</v>
      </c>
      <c r="B78" s="247" t="s">
        <v>314</v>
      </c>
      <c r="C78" s="248"/>
      <c r="D78" s="248"/>
    </row>
    <row r="79" spans="1:4" s="12" customFormat="1" ht="33.75" customHeight="1" x14ac:dyDescent="0.25">
      <c r="A79" s="23" t="s">
        <v>37</v>
      </c>
      <c r="B79" s="30" t="s">
        <v>429</v>
      </c>
      <c r="C79" s="183" t="s">
        <v>113</v>
      </c>
      <c r="D79" s="7">
        <v>279.39999999999998</v>
      </c>
    </row>
    <row r="80" spans="1:4" ht="24" customHeight="1" x14ac:dyDescent="0.25">
      <c r="A80" s="265" t="s">
        <v>38</v>
      </c>
      <c r="B80" s="31" t="s">
        <v>440</v>
      </c>
      <c r="C80" s="183" t="s">
        <v>113</v>
      </c>
      <c r="D80" s="40">
        <f>181.811+16.858</f>
        <v>198.66900000000001</v>
      </c>
    </row>
    <row r="81" spans="1:4" ht="30.75" customHeight="1" x14ac:dyDescent="0.25">
      <c r="A81" s="266"/>
      <c r="B81" s="262" t="s">
        <v>60</v>
      </c>
      <c r="C81" s="179" t="s">
        <v>108</v>
      </c>
      <c r="D81" s="40">
        <f>15.3+0.747</f>
        <v>16.047000000000001</v>
      </c>
    </row>
    <row r="82" spans="1:4" ht="30" customHeight="1" x14ac:dyDescent="0.25">
      <c r="A82" s="266"/>
      <c r="B82" s="263"/>
      <c r="C82" s="179" t="s">
        <v>2</v>
      </c>
      <c r="D82" s="40">
        <f>10.8+0.747</f>
        <v>11.547000000000001</v>
      </c>
    </row>
    <row r="83" spans="1:4" ht="30" customHeight="1" x14ac:dyDescent="0.25">
      <c r="A83" s="266"/>
      <c r="B83" s="263"/>
      <c r="C83" s="197" t="s">
        <v>9</v>
      </c>
      <c r="D83" s="40">
        <f>8.1+0.747</f>
        <v>8.8469999999999995</v>
      </c>
    </row>
    <row r="84" spans="1:4" ht="30" customHeight="1" x14ac:dyDescent="0.25">
      <c r="A84" s="266"/>
      <c r="B84" s="263"/>
      <c r="C84" s="179" t="s">
        <v>124</v>
      </c>
      <c r="D84" s="40">
        <f>8.3+0.747</f>
        <v>9.0470000000000006</v>
      </c>
    </row>
    <row r="85" spans="1:4" ht="43.5" customHeight="1" x14ac:dyDescent="0.25">
      <c r="A85" s="266"/>
      <c r="B85" s="263"/>
      <c r="C85" s="179" t="s">
        <v>75</v>
      </c>
      <c r="D85" s="40">
        <f>37.4+0.822</f>
        <v>38.222000000000001</v>
      </c>
    </row>
    <row r="86" spans="1:4" ht="44.25" customHeight="1" x14ac:dyDescent="0.25">
      <c r="A86" s="266"/>
      <c r="B86" s="263"/>
      <c r="C86" s="179" t="s">
        <v>154</v>
      </c>
      <c r="D86" s="40">
        <f>42.3+0.822</f>
        <v>43.122</v>
      </c>
    </row>
    <row r="87" spans="1:4" ht="44.25" customHeight="1" x14ac:dyDescent="0.25">
      <c r="A87" s="266"/>
      <c r="B87" s="263"/>
      <c r="C87" s="179" t="s">
        <v>125</v>
      </c>
      <c r="D87" s="40">
        <f>16.7+0.747</f>
        <v>17.446999999999999</v>
      </c>
    </row>
    <row r="88" spans="1:4" ht="31.5" customHeight="1" x14ac:dyDescent="0.25">
      <c r="A88" s="266"/>
      <c r="B88" s="263"/>
      <c r="C88" s="179" t="s">
        <v>71</v>
      </c>
      <c r="D88" s="40">
        <f>64.7+0.859</f>
        <v>65.558999999999997</v>
      </c>
    </row>
    <row r="89" spans="1:4" ht="31.5" customHeight="1" x14ac:dyDescent="0.25">
      <c r="A89" s="266"/>
      <c r="B89" s="263"/>
      <c r="C89" s="179" t="s">
        <v>97</v>
      </c>
      <c r="D89" s="40">
        <f>89.5+0.859</f>
        <v>90.358999999999995</v>
      </c>
    </row>
    <row r="90" spans="1:4" ht="36" customHeight="1" x14ac:dyDescent="0.25">
      <c r="A90" s="266"/>
      <c r="B90" s="263"/>
      <c r="C90" s="179" t="s">
        <v>293</v>
      </c>
      <c r="D90" s="40">
        <f>44.5+0.747</f>
        <v>45.247</v>
      </c>
    </row>
    <row r="91" spans="1:4" ht="34.5" customHeight="1" x14ac:dyDescent="0.25">
      <c r="A91" s="266"/>
      <c r="B91" s="263"/>
      <c r="C91" s="179" t="s">
        <v>72</v>
      </c>
      <c r="D91" s="40">
        <f>215.1+0.859</f>
        <v>215.959</v>
      </c>
    </row>
    <row r="92" spans="1:4" ht="32.25" customHeight="1" x14ac:dyDescent="0.25">
      <c r="A92" s="266"/>
      <c r="B92" s="263"/>
      <c r="C92" s="179" t="s">
        <v>73</v>
      </c>
      <c r="D92" s="40">
        <f>43.6+0.859</f>
        <v>44.459000000000003</v>
      </c>
    </row>
    <row r="93" spans="1:4" ht="42" customHeight="1" x14ac:dyDescent="0.25">
      <c r="A93" s="266"/>
      <c r="B93" s="263"/>
      <c r="C93" s="179" t="s">
        <v>10</v>
      </c>
      <c r="D93" s="40">
        <f>37.3+0.822</f>
        <v>38.122</v>
      </c>
    </row>
    <row r="94" spans="1:4" ht="37.5" customHeight="1" x14ac:dyDescent="0.25">
      <c r="A94" s="267"/>
      <c r="B94" s="264"/>
      <c r="C94" s="179" t="s">
        <v>327</v>
      </c>
      <c r="D94" s="40">
        <f>15.2+0.747</f>
        <v>15.946999999999999</v>
      </c>
    </row>
    <row r="95" spans="1:4" ht="24" customHeight="1" x14ac:dyDescent="0.25">
      <c r="A95" s="51"/>
      <c r="B95" s="51" t="s">
        <v>183</v>
      </c>
      <c r="C95" s="34"/>
      <c r="D95" s="42">
        <f>SUM(D80:D94)</f>
        <v>858.60000000000014</v>
      </c>
    </row>
    <row r="96" spans="1:4" s="12" customFormat="1" ht="33.75" customHeight="1" x14ac:dyDescent="0.25">
      <c r="A96" s="265" t="s">
        <v>381</v>
      </c>
      <c r="B96" s="259" t="s">
        <v>157</v>
      </c>
      <c r="C96" s="95" t="s">
        <v>113</v>
      </c>
      <c r="D96" s="97">
        <v>750</v>
      </c>
    </row>
    <row r="97" spans="1:4" ht="33.75" customHeight="1" x14ac:dyDescent="0.25">
      <c r="A97" s="266"/>
      <c r="B97" s="260"/>
      <c r="C97" s="201" t="s">
        <v>327</v>
      </c>
      <c r="D97" s="97">
        <v>300</v>
      </c>
    </row>
    <row r="98" spans="1:4" ht="33.75" customHeight="1" x14ac:dyDescent="0.25">
      <c r="A98" s="267"/>
      <c r="B98" s="261"/>
      <c r="C98" s="200" t="s">
        <v>105</v>
      </c>
      <c r="D98" s="97">
        <v>1304.5</v>
      </c>
    </row>
    <row r="99" spans="1:4" ht="24" customHeight="1" x14ac:dyDescent="0.25">
      <c r="A99" s="24"/>
      <c r="B99" s="257" t="s">
        <v>182</v>
      </c>
      <c r="C99" s="258"/>
      <c r="D99" s="42">
        <f>D96+D98+D97</f>
        <v>2354.5</v>
      </c>
    </row>
    <row r="100" spans="1:4" ht="93.75" customHeight="1" x14ac:dyDescent="0.25">
      <c r="A100" s="177" t="s">
        <v>40</v>
      </c>
      <c r="B100" s="159" t="s">
        <v>303</v>
      </c>
      <c r="C100" s="202" t="s">
        <v>113</v>
      </c>
      <c r="D100" s="99">
        <v>1.3</v>
      </c>
    </row>
    <row r="101" spans="1:4" ht="39.75" customHeight="1" x14ac:dyDescent="0.25">
      <c r="A101" s="265" t="s">
        <v>41</v>
      </c>
      <c r="B101" s="262" t="s">
        <v>208</v>
      </c>
      <c r="C101" s="193" t="s">
        <v>113</v>
      </c>
      <c r="D101" s="40">
        <v>32.47</v>
      </c>
    </row>
    <row r="102" spans="1:4" ht="49.5" customHeight="1" x14ac:dyDescent="0.25">
      <c r="A102" s="267"/>
      <c r="B102" s="264"/>
      <c r="C102" s="200" t="s">
        <v>105</v>
      </c>
      <c r="D102" s="209">
        <v>66.53</v>
      </c>
    </row>
    <row r="103" spans="1:4" s="12" customFormat="1" ht="35.450000000000003" customHeight="1" x14ac:dyDescent="0.25">
      <c r="A103" s="182" t="s">
        <v>42</v>
      </c>
      <c r="B103" s="185" t="s">
        <v>251</v>
      </c>
      <c r="C103" s="187" t="s">
        <v>105</v>
      </c>
      <c r="D103" s="7">
        <v>23.7</v>
      </c>
    </row>
    <row r="104" spans="1:4" s="12" customFormat="1" ht="34.15" customHeight="1" x14ac:dyDescent="0.25">
      <c r="A104" s="161" t="s">
        <v>43</v>
      </c>
      <c r="B104" s="31" t="s">
        <v>396</v>
      </c>
      <c r="C104" s="95" t="s">
        <v>113</v>
      </c>
      <c r="D104" s="40">
        <f>2.1+80.8</f>
        <v>82.899999999999991</v>
      </c>
    </row>
    <row r="105" spans="1:4" s="12" customFormat="1" ht="32.450000000000003" customHeight="1" x14ac:dyDescent="0.25">
      <c r="A105" s="93" t="s">
        <v>44</v>
      </c>
      <c r="B105" s="135" t="s">
        <v>250</v>
      </c>
      <c r="C105" s="187" t="s">
        <v>105</v>
      </c>
      <c r="D105" s="40">
        <v>33.768000000000001</v>
      </c>
    </row>
    <row r="106" spans="1:4" s="12" customFormat="1" ht="35.25" customHeight="1" x14ac:dyDescent="0.25">
      <c r="A106" s="161" t="s">
        <v>92</v>
      </c>
      <c r="B106" s="159" t="s">
        <v>272</v>
      </c>
      <c r="C106" s="187" t="s">
        <v>105</v>
      </c>
      <c r="D106" s="99">
        <v>54.436999999999998</v>
      </c>
    </row>
    <row r="107" spans="1:4" s="12" customFormat="1" ht="36" customHeight="1" x14ac:dyDescent="0.25">
      <c r="A107" s="93" t="s">
        <v>290</v>
      </c>
      <c r="B107" s="160" t="s">
        <v>310</v>
      </c>
      <c r="C107" s="203" t="s">
        <v>113</v>
      </c>
      <c r="D107" s="40">
        <v>69.513000000000005</v>
      </c>
    </row>
    <row r="108" spans="1:4" s="12" customFormat="1" ht="36" customHeight="1" x14ac:dyDescent="0.25">
      <c r="A108" s="184" t="s">
        <v>339</v>
      </c>
      <c r="B108" s="183" t="s">
        <v>273</v>
      </c>
      <c r="C108" s="165" t="s">
        <v>105</v>
      </c>
      <c r="D108" s="40">
        <v>93.370999999999995</v>
      </c>
    </row>
    <row r="109" spans="1:4" s="12" customFormat="1" ht="24" customHeight="1" x14ac:dyDescent="0.25">
      <c r="A109" s="93" t="s">
        <v>340</v>
      </c>
      <c r="B109" s="160" t="s">
        <v>274</v>
      </c>
      <c r="C109" s="203" t="s">
        <v>113</v>
      </c>
      <c r="D109" s="40">
        <v>1.867</v>
      </c>
    </row>
    <row r="110" spans="1:4" s="12" customFormat="1" ht="62.25" hidden="1" customHeight="1" x14ac:dyDescent="0.25">
      <c r="A110" s="93" t="s">
        <v>341</v>
      </c>
      <c r="B110" s="165" t="s">
        <v>311</v>
      </c>
      <c r="C110" s="95" t="s">
        <v>113</v>
      </c>
      <c r="D110" s="40"/>
    </row>
    <row r="111" spans="1:4" s="12" customFormat="1" ht="79.5" hidden="1" customHeight="1" x14ac:dyDescent="0.25">
      <c r="A111" s="175" t="s">
        <v>342</v>
      </c>
      <c r="B111" s="163" t="s">
        <v>292</v>
      </c>
      <c r="C111" s="193" t="s">
        <v>113</v>
      </c>
      <c r="D111" s="40"/>
    </row>
    <row r="112" spans="1:4" s="12" customFormat="1" ht="33.75" customHeight="1" x14ac:dyDescent="0.25">
      <c r="A112" s="175" t="s">
        <v>341</v>
      </c>
      <c r="B112" s="159" t="s">
        <v>306</v>
      </c>
      <c r="C112" s="165" t="s">
        <v>327</v>
      </c>
      <c r="D112" s="99">
        <v>26.4</v>
      </c>
    </row>
    <row r="113" spans="1:4" s="12" customFormat="1" ht="65.25" customHeight="1" x14ac:dyDescent="0.25">
      <c r="A113" s="93" t="s">
        <v>342</v>
      </c>
      <c r="B113" s="28" t="s">
        <v>298</v>
      </c>
      <c r="C113" s="262" t="s">
        <v>106</v>
      </c>
      <c r="D113" s="210">
        <v>79.41</v>
      </c>
    </row>
    <row r="114" spans="1:4" ht="69" customHeight="1" x14ac:dyDescent="0.25">
      <c r="A114" s="178" t="s">
        <v>343</v>
      </c>
      <c r="B114" s="28" t="s">
        <v>256</v>
      </c>
      <c r="C114" s="264"/>
      <c r="D114" s="210">
        <v>265.23</v>
      </c>
    </row>
    <row r="115" spans="1:4" ht="39" customHeight="1" x14ac:dyDescent="0.25">
      <c r="A115" s="93" t="s">
        <v>344</v>
      </c>
      <c r="B115" s="30" t="s">
        <v>299</v>
      </c>
      <c r="C115" s="95" t="s">
        <v>113</v>
      </c>
      <c r="D115" s="40">
        <v>99.4</v>
      </c>
    </row>
    <row r="116" spans="1:4" ht="24" customHeight="1" x14ac:dyDescent="0.25">
      <c r="A116" s="93" t="s">
        <v>345</v>
      </c>
      <c r="B116" s="71" t="s">
        <v>59</v>
      </c>
      <c r="C116" s="95" t="s">
        <v>113</v>
      </c>
      <c r="D116" s="7">
        <v>22.3</v>
      </c>
    </row>
    <row r="117" spans="1:4" ht="33.75" customHeight="1" x14ac:dyDescent="0.25">
      <c r="A117" s="93" t="s">
        <v>346</v>
      </c>
      <c r="B117" s="71" t="s">
        <v>394</v>
      </c>
      <c r="C117" s="95" t="s">
        <v>113</v>
      </c>
      <c r="D117" s="40">
        <v>77.307469999999995</v>
      </c>
    </row>
    <row r="118" spans="1:4" ht="33.75" customHeight="1" x14ac:dyDescent="0.25">
      <c r="A118" s="93" t="s">
        <v>347</v>
      </c>
      <c r="B118" s="71" t="s">
        <v>438</v>
      </c>
      <c r="C118" s="95" t="s">
        <v>113</v>
      </c>
      <c r="D118" s="40">
        <v>24.419</v>
      </c>
    </row>
    <row r="119" spans="1:4" ht="33.75" customHeight="1" x14ac:dyDescent="0.25">
      <c r="A119" s="265" t="s">
        <v>348</v>
      </c>
      <c r="B119" s="262" t="s">
        <v>426</v>
      </c>
      <c r="C119" s="213" t="s">
        <v>113</v>
      </c>
      <c r="D119" s="40">
        <v>14.2</v>
      </c>
    </row>
    <row r="120" spans="1:4" ht="39" customHeight="1" x14ac:dyDescent="0.25">
      <c r="A120" s="267"/>
      <c r="B120" s="264"/>
      <c r="C120" s="214" t="s">
        <v>105</v>
      </c>
      <c r="D120" s="40">
        <v>20</v>
      </c>
    </row>
    <row r="121" spans="1:4" ht="24" customHeight="1" x14ac:dyDescent="0.25">
      <c r="A121" s="24"/>
      <c r="B121" s="278" t="s">
        <v>74</v>
      </c>
      <c r="C121" s="258"/>
      <c r="D121" s="42">
        <f>SUM(D100:D116)+D99+D95+D79+D117+D118+D119+D120</f>
        <v>4581.022469999999</v>
      </c>
    </row>
    <row r="122" spans="1:4" s="12" customFormat="1" ht="24" customHeight="1" x14ac:dyDescent="0.25">
      <c r="A122" s="29" t="s">
        <v>81</v>
      </c>
      <c r="B122" s="247" t="s">
        <v>377</v>
      </c>
      <c r="C122" s="248"/>
      <c r="D122" s="248"/>
    </row>
    <row r="123" spans="1:4" ht="24" customHeight="1" x14ac:dyDescent="0.25">
      <c r="A123" s="23" t="s">
        <v>45</v>
      </c>
      <c r="B123" s="30" t="s">
        <v>112</v>
      </c>
      <c r="C123" s="259" t="s">
        <v>113</v>
      </c>
      <c r="D123" s="40">
        <v>188.3</v>
      </c>
    </row>
    <row r="124" spans="1:4" ht="51" customHeight="1" x14ac:dyDescent="0.25">
      <c r="A124" s="23" t="s">
        <v>46</v>
      </c>
      <c r="B124" s="30" t="s">
        <v>277</v>
      </c>
      <c r="C124" s="260"/>
      <c r="D124" s="40">
        <v>171.3</v>
      </c>
    </row>
    <row r="125" spans="1:4" ht="24" customHeight="1" x14ac:dyDescent="0.25">
      <c r="A125" s="23" t="s">
        <v>47</v>
      </c>
      <c r="B125" s="30" t="s">
        <v>58</v>
      </c>
      <c r="C125" s="261"/>
      <c r="D125" s="40">
        <v>25.3</v>
      </c>
    </row>
    <row r="126" spans="1:4" ht="39.75" hidden="1" customHeight="1" x14ac:dyDescent="0.25">
      <c r="A126" s="107" t="s">
        <v>93</v>
      </c>
      <c r="B126" s="159" t="s">
        <v>422</v>
      </c>
      <c r="C126" s="16" t="s">
        <v>113</v>
      </c>
      <c r="D126" s="100"/>
    </row>
    <row r="127" spans="1:4" ht="39.75" hidden="1" customHeight="1" x14ac:dyDescent="0.25">
      <c r="A127" s="107" t="s">
        <v>94</v>
      </c>
      <c r="B127" s="159" t="s">
        <v>423</v>
      </c>
      <c r="C127" s="16" t="s">
        <v>113</v>
      </c>
      <c r="D127" s="100"/>
    </row>
    <row r="128" spans="1:4" ht="24" customHeight="1" x14ac:dyDescent="0.25">
      <c r="A128" s="24"/>
      <c r="B128" s="186"/>
      <c r="C128" s="186"/>
      <c r="D128" s="42">
        <f>SUM(D123:D127)</f>
        <v>384.90000000000003</v>
      </c>
    </row>
    <row r="129" spans="1:4" s="12" customFormat="1" ht="24" customHeight="1" x14ac:dyDescent="0.25">
      <c r="A129" s="29" t="s">
        <v>82</v>
      </c>
      <c r="B129" s="249" t="s">
        <v>323</v>
      </c>
      <c r="C129" s="250"/>
      <c r="D129" s="250"/>
    </row>
    <row r="130" spans="1:4" s="12" customFormat="1" ht="33.75" customHeight="1" x14ac:dyDescent="0.25">
      <c r="A130" s="23" t="s">
        <v>49</v>
      </c>
      <c r="B130" s="30" t="s">
        <v>227</v>
      </c>
      <c r="C130" s="195" t="s">
        <v>113</v>
      </c>
      <c r="D130" s="40">
        <v>16.135999999999999</v>
      </c>
    </row>
    <row r="131" spans="1:4" s="12" customFormat="1" ht="45" customHeight="1" x14ac:dyDescent="0.25">
      <c r="A131" s="23" t="s">
        <v>66</v>
      </c>
      <c r="B131" s="71" t="s">
        <v>255</v>
      </c>
      <c r="C131" s="193" t="s">
        <v>113</v>
      </c>
      <c r="D131" s="40">
        <v>2099.6</v>
      </c>
    </row>
    <row r="132" spans="1:4" s="12" customFormat="1" ht="33.75" customHeight="1" x14ac:dyDescent="0.25">
      <c r="A132" s="176" t="s">
        <v>67</v>
      </c>
      <c r="B132" s="137" t="s">
        <v>393</v>
      </c>
      <c r="C132" s="195" t="s">
        <v>113</v>
      </c>
      <c r="D132" s="40"/>
    </row>
    <row r="133" spans="1:4" s="12" customFormat="1" ht="61.5" customHeight="1" x14ac:dyDescent="0.25">
      <c r="A133" s="176" t="s">
        <v>366</v>
      </c>
      <c r="B133" s="137" t="s">
        <v>443</v>
      </c>
      <c r="C133" s="193" t="s">
        <v>113</v>
      </c>
      <c r="D133" s="40">
        <v>700</v>
      </c>
    </row>
    <row r="134" spans="1:4" ht="24" customHeight="1" x14ac:dyDescent="0.25">
      <c r="A134" s="24"/>
      <c r="B134" s="257" t="s">
        <v>76</v>
      </c>
      <c r="C134" s="258"/>
      <c r="D134" s="52">
        <f>SUM(D130:D133)</f>
        <v>2815.7359999999999</v>
      </c>
    </row>
    <row r="135" spans="1:4" s="12" customFormat="1" ht="24" customHeight="1" x14ac:dyDescent="0.25">
      <c r="A135" s="241" t="s">
        <v>90</v>
      </c>
      <c r="B135" s="241"/>
      <c r="C135" s="53"/>
      <c r="D135" s="43">
        <f>D134+D128+D121+D77+D30</f>
        <v>10282.54947</v>
      </c>
    </row>
    <row r="136" spans="1:4" ht="15.75" customHeight="1" x14ac:dyDescent="0.25">
      <c r="C136" s="3"/>
      <c r="D136" s="50"/>
    </row>
    <row r="137" spans="1:4" x14ac:dyDescent="0.25">
      <c r="A137" s="113"/>
      <c r="B137" s="113"/>
      <c r="C137" s="113"/>
      <c r="D137" s="120"/>
    </row>
    <row r="138" spans="1:4" x14ac:dyDescent="0.25">
      <c r="D138" s="50"/>
    </row>
  </sheetData>
  <mergeCells count="36">
    <mergeCell ref="D2:D4"/>
    <mergeCell ref="B121:C121"/>
    <mergeCell ref="B31:D31"/>
    <mergeCell ref="B77:C77"/>
    <mergeCell ref="C113:C114"/>
    <mergeCell ref="B96:B98"/>
    <mergeCell ref="B101:B102"/>
    <mergeCell ref="B99:C99"/>
    <mergeCell ref="B78:D78"/>
    <mergeCell ref="D5:D7"/>
    <mergeCell ref="B9:D9"/>
    <mergeCell ref="B10:D10"/>
    <mergeCell ref="B14:D14"/>
    <mergeCell ref="B30:C30"/>
    <mergeCell ref="B38:B43"/>
    <mergeCell ref="A62:A76"/>
    <mergeCell ref="B62:B76"/>
    <mergeCell ref="C15:C25"/>
    <mergeCell ref="A58:A61"/>
    <mergeCell ref="A34:A36"/>
    <mergeCell ref="B34:B36"/>
    <mergeCell ref="B58:B61"/>
    <mergeCell ref="A38:A43"/>
    <mergeCell ref="B45:B57"/>
    <mergeCell ref="A45:A57"/>
    <mergeCell ref="A135:B135"/>
    <mergeCell ref="B134:C134"/>
    <mergeCell ref="C123:C125"/>
    <mergeCell ref="B129:D129"/>
    <mergeCell ref="B81:B94"/>
    <mergeCell ref="A80:A94"/>
    <mergeCell ref="A96:A98"/>
    <mergeCell ref="A101:A102"/>
    <mergeCell ref="B122:D122"/>
    <mergeCell ref="B119:B120"/>
    <mergeCell ref="A119:A120"/>
  </mergeCells>
  <phoneticPr fontId="9" type="noConversion"/>
  <pageMargins left="0" right="0" top="0" bottom="0" header="0" footer="0"/>
  <pageSetup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4E000-73E1-410E-B332-F4892E7381C1}">
  <dimension ref="A1:D54"/>
  <sheetViews>
    <sheetView workbookViewId="0">
      <selection activeCell="G41" sqref="G41"/>
    </sheetView>
  </sheetViews>
  <sheetFormatPr defaultColWidth="9.140625" defaultRowHeight="15.75" x14ac:dyDescent="0.25"/>
  <cols>
    <col min="1" max="1" width="4.85546875" style="1" customWidth="1"/>
    <col min="2" max="2" width="49.7109375" style="1" customWidth="1"/>
    <col min="3" max="3" width="35.140625" style="1" customWidth="1"/>
    <col min="4" max="4" width="32" style="1" customWidth="1"/>
    <col min="5" max="16384" width="9.140625" style="1"/>
  </cols>
  <sheetData>
    <row r="1" spans="1:4" ht="15.75" customHeight="1" x14ac:dyDescent="0.25">
      <c r="D1" s="2" t="s">
        <v>77</v>
      </c>
    </row>
    <row r="2" spans="1:4" ht="15.75" customHeight="1" x14ac:dyDescent="0.25">
      <c r="D2" s="2" t="s">
        <v>132</v>
      </c>
    </row>
    <row r="3" spans="1:4" ht="15.75" customHeight="1" x14ac:dyDescent="0.25">
      <c r="D3" s="2" t="s">
        <v>477</v>
      </c>
    </row>
    <row r="4" spans="1:4" ht="15.75" customHeight="1" x14ac:dyDescent="0.25"/>
    <row r="5" spans="1:4" ht="15.75" hidden="1" customHeight="1" x14ac:dyDescent="0.25">
      <c r="D5" s="220"/>
    </row>
    <row r="6" spans="1:4" ht="15.75" hidden="1" customHeight="1" x14ac:dyDescent="0.25">
      <c r="D6" s="220"/>
    </row>
    <row r="7" spans="1:4" ht="15.75" hidden="1" customHeight="1" x14ac:dyDescent="0.25">
      <c r="D7" s="220"/>
    </row>
    <row r="8" spans="1:4" ht="15.75" hidden="1" customHeight="1" x14ac:dyDescent="0.25">
      <c r="D8" s="181"/>
    </row>
    <row r="9" spans="1:4" ht="15.75" customHeight="1" x14ac:dyDescent="0.25">
      <c r="A9" s="292" t="s">
        <v>472</v>
      </c>
      <c r="B9" s="292"/>
      <c r="C9" s="292"/>
      <c r="D9" s="292"/>
    </row>
    <row r="10" spans="1:4" ht="15.75" customHeight="1" x14ac:dyDescent="0.25">
      <c r="A10" s="292" t="s">
        <v>491</v>
      </c>
      <c r="B10" s="292"/>
      <c r="C10" s="292"/>
      <c r="D10" s="292"/>
    </row>
    <row r="11" spans="1:4" ht="15.75" customHeight="1" x14ac:dyDescent="0.25">
      <c r="C11" s="10"/>
      <c r="D11" s="152" t="s">
        <v>271</v>
      </c>
    </row>
    <row r="12" spans="1:4" ht="24.75" customHeight="1" x14ac:dyDescent="0.25">
      <c r="A12" s="252" t="s">
        <v>232</v>
      </c>
      <c r="B12" s="245" t="s">
        <v>249</v>
      </c>
      <c r="C12" s="245" t="s">
        <v>96</v>
      </c>
      <c r="D12" s="254" t="s">
        <v>74</v>
      </c>
    </row>
    <row r="13" spans="1:4" ht="22.5" customHeight="1" x14ac:dyDescent="0.25">
      <c r="A13" s="289"/>
      <c r="B13" s="290"/>
      <c r="C13" s="290"/>
      <c r="D13" s="291"/>
    </row>
    <row r="14" spans="1:4" ht="24" customHeight="1" x14ac:dyDescent="0.25">
      <c r="A14" s="29" t="s">
        <v>78</v>
      </c>
      <c r="B14" s="247" t="s">
        <v>326</v>
      </c>
      <c r="C14" s="248"/>
      <c r="D14" s="285"/>
    </row>
    <row r="15" spans="1:4" ht="22.5" customHeight="1" x14ac:dyDescent="0.25">
      <c r="A15" s="265" t="s">
        <v>69</v>
      </c>
      <c r="B15" s="262" t="s">
        <v>445</v>
      </c>
      <c r="C15" s="217" t="s">
        <v>113</v>
      </c>
      <c r="D15" s="40">
        <v>1143.4290000000001</v>
      </c>
    </row>
    <row r="16" spans="1:4" ht="39.75" customHeight="1" x14ac:dyDescent="0.25">
      <c r="A16" s="266"/>
      <c r="B16" s="263"/>
      <c r="C16" s="73" t="s">
        <v>75</v>
      </c>
      <c r="D16" s="40">
        <v>82.174999999999997</v>
      </c>
    </row>
    <row r="17" spans="1:4" ht="39.75" customHeight="1" x14ac:dyDescent="0.25">
      <c r="A17" s="266"/>
      <c r="B17" s="263"/>
      <c r="C17" s="30" t="s">
        <v>71</v>
      </c>
      <c r="D17" s="40">
        <v>180</v>
      </c>
    </row>
    <row r="18" spans="1:4" ht="39.75" customHeight="1" x14ac:dyDescent="0.25">
      <c r="A18" s="266"/>
      <c r="B18" s="263"/>
      <c r="C18" s="30" t="s">
        <v>293</v>
      </c>
      <c r="D18" s="40">
        <v>124</v>
      </c>
    </row>
    <row r="19" spans="1:4" ht="39.75" customHeight="1" x14ac:dyDescent="0.25">
      <c r="A19" s="267"/>
      <c r="B19" s="264"/>
      <c r="C19" s="30" t="s">
        <v>72</v>
      </c>
      <c r="D19" s="40">
        <v>157.57499999999999</v>
      </c>
    </row>
    <row r="20" spans="1:4" ht="22.5" customHeight="1" x14ac:dyDescent="0.25">
      <c r="A20" s="265" t="s">
        <v>13</v>
      </c>
      <c r="B20" s="262" t="s">
        <v>492</v>
      </c>
      <c r="C20" s="217" t="s">
        <v>113</v>
      </c>
      <c r="D20" s="40">
        <v>1044.8800000000001</v>
      </c>
    </row>
    <row r="21" spans="1:4" ht="22.5" customHeight="1" x14ac:dyDescent="0.25">
      <c r="A21" s="267"/>
      <c r="B21" s="264"/>
      <c r="C21" s="30" t="s">
        <v>98</v>
      </c>
      <c r="D21" s="40">
        <v>8.1479999999999997</v>
      </c>
    </row>
    <row r="22" spans="1:4" ht="22.5" customHeight="1" x14ac:dyDescent="0.25">
      <c r="A22" s="265" t="s">
        <v>14</v>
      </c>
      <c r="B22" s="262" t="s">
        <v>498</v>
      </c>
      <c r="C22" s="217" t="s">
        <v>113</v>
      </c>
      <c r="D22" s="40">
        <v>5.2939999999999996</v>
      </c>
    </row>
    <row r="23" spans="1:4" ht="33" customHeight="1" x14ac:dyDescent="0.25">
      <c r="A23" s="266"/>
      <c r="B23" s="263"/>
      <c r="C23" s="30" t="s">
        <v>75</v>
      </c>
      <c r="D23" s="40">
        <v>31.318000000000001</v>
      </c>
    </row>
    <row r="24" spans="1:4" ht="34.5" customHeight="1" x14ac:dyDescent="0.25">
      <c r="A24" s="266"/>
      <c r="B24" s="263"/>
      <c r="C24" s="30" t="s">
        <v>155</v>
      </c>
      <c r="D24" s="40">
        <v>40.14</v>
      </c>
    </row>
    <row r="25" spans="1:4" ht="38.25" customHeight="1" x14ac:dyDescent="0.25">
      <c r="A25" s="266"/>
      <c r="B25" s="263"/>
      <c r="C25" s="30" t="s">
        <v>97</v>
      </c>
      <c r="D25" s="40">
        <v>40.581000000000003</v>
      </c>
    </row>
    <row r="26" spans="1:4" ht="33.75" customHeight="1" x14ac:dyDescent="0.25">
      <c r="A26" s="266"/>
      <c r="B26" s="263"/>
      <c r="C26" s="30" t="s">
        <v>293</v>
      </c>
      <c r="D26" s="40">
        <v>14.555999999999999</v>
      </c>
    </row>
    <row r="27" spans="1:4" ht="33.75" customHeight="1" x14ac:dyDescent="0.25">
      <c r="A27" s="266"/>
      <c r="B27" s="263"/>
      <c r="C27" s="30" t="s">
        <v>72</v>
      </c>
      <c r="D27" s="40">
        <v>48.52</v>
      </c>
    </row>
    <row r="28" spans="1:4" ht="33.75" customHeight="1" x14ac:dyDescent="0.25">
      <c r="A28" s="266"/>
      <c r="B28" s="263"/>
      <c r="C28" s="30" t="s">
        <v>73</v>
      </c>
      <c r="D28" s="40">
        <v>33.082000000000001</v>
      </c>
    </row>
    <row r="29" spans="1:4" ht="34.5" customHeight="1" x14ac:dyDescent="0.25">
      <c r="A29" s="267"/>
      <c r="B29" s="264"/>
      <c r="C29" s="82" t="s">
        <v>247</v>
      </c>
      <c r="D29" s="40">
        <v>12.351000000000001</v>
      </c>
    </row>
    <row r="30" spans="1:4" ht="36" customHeight="1" x14ac:dyDescent="0.25">
      <c r="A30" s="180" t="s">
        <v>70</v>
      </c>
      <c r="B30" s="216" t="s">
        <v>497</v>
      </c>
      <c r="C30" s="30" t="s">
        <v>104</v>
      </c>
      <c r="D30" s="40">
        <v>148.24700000000001</v>
      </c>
    </row>
    <row r="31" spans="1:4" ht="24.75" customHeight="1" x14ac:dyDescent="0.25">
      <c r="A31" s="61"/>
      <c r="B31" s="55" t="s">
        <v>76</v>
      </c>
      <c r="C31" s="42"/>
      <c r="D31" s="42">
        <f>SUM(D15:D30)</f>
        <v>3114.2960000000003</v>
      </c>
    </row>
    <row r="32" spans="1:4" ht="24" customHeight="1" x14ac:dyDescent="0.25">
      <c r="A32" s="29" t="s">
        <v>79</v>
      </c>
      <c r="B32" s="286" t="s">
        <v>314</v>
      </c>
      <c r="C32" s="287"/>
      <c r="D32" s="288"/>
    </row>
    <row r="33" spans="1:4" ht="48" customHeight="1" x14ac:dyDescent="0.25">
      <c r="A33" s="29" t="s">
        <v>25</v>
      </c>
      <c r="B33" s="160" t="s">
        <v>493</v>
      </c>
      <c r="C33" s="95" t="s">
        <v>113</v>
      </c>
      <c r="D33" s="218">
        <v>38.866</v>
      </c>
    </row>
    <row r="34" spans="1:4" ht="22.5" customHeight="1" x14ac:dyDescent="0.25">
      <c r="A34" s="283" t="s">
        <v>26</v>
      </c>
      <c r="B34" s="262" t="s">
        <v>447</v>
      </c>
      <c r="C34" s="217" t="s">
        <v>113</v>
      </c>
      <c r="D34" s="218">
        <v>397.553</v>
      </c>
    </row>
    <row r="35" spans="1:4" ht="33" customHeight="1" x14ac:dyDescent="0.25">
      <c r="A35" s="284"/>
      <c r="B35" s="264"/>
      <c r="C35" s="82" t="s">
        <v>247</v>
      </c>
      <c r="D35" s="218">
        <v>90.09</v>
      </c>
    </row>
    <row r="36" spans="1:4" ht="48" customHeight="1" x14ac:dyDescent="0.25">
      <c r="A36" s="29" t="s">
        <v>27</v>
      </c>
      <c r="B36" s="160" t="s">
        <v>486</v>
      </c>
      <c r="C36" s="95" t="s">
        <v>113</v>
      </c>
      <c r="D36" s="218">
        <v>873.85</v>
      </c>
    </row>
    <row r="37" spans="1:4" ht="41.25" customHeight="1" x14ac:dyDescent="0.25">
      <c r="A37" s="23" t="s">
        <v>28</v>
      </c>
      <c r="B37" s="160" t="s">
        <v>494</v>
      </c>
      <c r="C37" s="95" t="s">
        <v>113</v>
      </c>
      <c r="D37" s="40">
        <v>68.7</v>
      </c>
    </row>
    <row r="38" spans="1:4" ht="48.75" customHeight="1" x14ac:dyDescent="0.25">
      <c r="A38" s="23" t="s">
        <v>29</v>
      </c>
      <c r="B38" s="160" t="s">
        <v>495</v>
      </c>
      <c r="C38" s="95" t="s">
        <v>113</v>
      </c>
      <c r="D38" s="40">
        <v>680</v>
      </c>
    </row>
    <row r="39" spans="1:4" ht="24" customHeight="1" x14ac:dyDescent="0.25">
      <c r="A39" s="61"/>
      <c r="B39" s="55" t="s">
        <v>76</v>
      </c>
      <c r="C39" s="42"/>
      <c r="D39" s="42">
        <f>SUM(D33:D38)</f>
        <v>2149.0590000000002</v>
      </c>
    </row>
    <row r="40" spans="1:4" ht="24" customHeight="1" x14ac:dyDescent="0.25">
      <c r="A40" s="29" t="s">
        <v>80</v>
      </c>
      <c r="B40" s="286" t="s">
        <v>324</v>
      </c>
      <c r="C40" s="287"/>
      <c r="D40" s="288"/>
    </row>
    <row r="41" spans="1:4" ht="41.25" customHeight="1" x14ac:dyDescent="0.25">
      <c r="A41" s="23" t="s">
        <v>448</v>
      </c>
      <c r="B41" s="160" t="s">
        <v>496</v>
      </c>
      <c r="C41" s="95" t="s">
        <v>113</v>
      </c>
      <c r="D41" s="40">
        <v>415</v>
      </c>
    </row>
    <row r="42" spans="1:4" ht="41.25" customHeight="1" x14ac:dyDescent="0.25">
      <c r="A42" s="23" t="s">
        <v>38</v>
      </c>
      <c r="B42" s="160" t="s">
        <v>449</v>
      </c>
      <c r="C42" s="95" t="s">
        <v>113</v>
      </c>
      <c r="D42" s="40">
        <v>327.27199999999999</v>
      </c>
    </row>
    <row r="43" spans="1:4" ht="24" customHeight="1" x14ac:dyDescent="0.25">
      <c r="A43" s="61"/>
      <c r="B43" s="55" t="s">
        <v>76</v>
      </c>
      <c r="C43" s="42"/>
      <c r="D43" s="42">
        <f>SUM(D41:D42)</f>
        <v>742.27199999999993</v>
      </c>
    </row>
    <row r="44" spans="1:4" ht="24" customHeight="1" x14ac:dyDescent="0.25">
      <c r="A44" s="29" t="s">
        <v>389</v>
      </c>
      <c r="B44" s="286" t="s">
        <v>323</v>
      </c>
      <c r="C44" s="287"/>
      <c r="D44" s="288"/>
    </row>
    <row r="45" spans="1:4" ht="38.25" customHeight="1" x14ac:dyDescent="0.25">
      <c r="A45" s="23" t="s">
        <v>45</v>
      </c>
      <c r="B45" s="160" t="s">
        <v>451</v>
      </c>
      <c r="C45" s="95" t="s">
        <v>113</v>
      </c>
      <c r="D45" s="40">
        <v>334.80500000000001</v>
      </c>
    </row>
    <row r="46" spans="1:4" ht="48" customHeight="1" x14ac:dyDescent="0.25">
      <c r="A46" s="23" t="s">
        <v>46</v>
      </c>
      <c r="B46" s="160" t="s">
        <v>500</v>
      </c>
      <c r="C46" s="95" t="s">
        <v>113</v>
      </c>
      <c r="D46" s="40">
        <v>256.42099999999999</v>
      </c>
    </row>
    <row r="47" spans="1:4" ht="41.25" customHeight="1" x14ac:dyDescent="0.25">
      <c r="A47" s="23" t="s">
        <v>47</v>
      </c>
      <c r="B47" s="160" t="s">
        <v>499</v>
      </c>
      <c r="C47" s="95" t="s">
        <v>113</v>
      </c>
      <c r="D47" s="40">
        <v>805.74599999999998</v>
      </c>
    </row>
    <row r="48" spans="1:4" ht="48" hidden="1" customHeight="1" x14ac:dyDescent="0.25">
      <c r="A48" s="23" t="s">
        <v>48</v>
      </c>
      <c r="B48" s="160" t="s">
        <v>471</v>
      </c>
      <c r="C48" s="95" t="s">
        <v>113</v>
      </c>
      <c r="D48" s="40"/>
    </row>
    <row r="49" spans="1:4" ht="24" customHeight="1" x14ac:dyDescent="0.25">
      <c r="A49" s="61"/>
      <c r="B49" s="55" t="s">
        <v>76</v>
      </c>
      <c r="C49" s="42"/>
      <c r="D49" s="42">
        <f>SUM(D45:D48)</f>
        <v>1396.972</v>
      </c>
    </row>
    <row r="50" spans="1:4" ht="24" customHeight="1" x14ac:dyDescent="0.25">
      <c r="A50" s="61"/>
      <c r="B50" s="55" t="s">
        <v>452</v>
      </c>
      <c r="C50" s="42"/>
      <c r="D50" s="42">
        <f>D31+D39+D43+D49</f>
        <v>7402.5990000000002</v>
      </c>
    </row>
    <row r="51" spans="1:4" ht="15.75" customHeight="1" x14ac:dyDescent="0.25">
      <c r="A51" s="113"/>
      <c r="B51" s="113"/>
      <c r="C51" s="113"/>
      <c r="D51" s="122"/>
    </row>
    <row r="52" spans="1:4" ht="15.75" customHeight="1" x14ac:dyDescent="0.25"/>
    <row r="53" spans="1:4" ht="15.75" customHeight="1" x14ac:dyDescent="0.25"/>
    <row r="54" spans="1:4" ht="15.75" customHeight="1" x14ac:dyDescent="0.25"/>
  </sheetData>
  <mergeCells count="19">
    <mergeCell ref="A12:A13"/>
    <mergeCell ref="B12:B13"/>
    <mergeCell ref="C12:C13"/>
    <mergeCell ref="D12:D13"/>
    <mergeCell ref="D5:D7"/>
    <mergeCell ref="A9:D9"/>
    <mergeCell ref="A10:D10"/>
    <mergeCell ref="B14:D14"/>
    <mergeCell ref="B32:D32"/>
    <mergeCell ref="B40:D40"/>
    <mergeCell ref="B44:D44"/>
    <mergeCell ref="B15:B19"/>
    <mergeCell ref="A15:A19"/>
    <mergeCell ref="B20:B21"/>
    <mergeCell ref="A20:A21"/>
    <mergeCell ref="B34:B35"/>
    <mergeCell ref="A34:A35"/>
    <mergeCell ref="B22:B29"/>
    <mergeCell ref="A22:A2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65"/>
  <sheetViews>
    <sheetView showZeros="0" workbookViewId="0">
      <selection activeCell="C60" sqref="C60"/>
    </sheetView>
  </sheetViews>
  <sheetFormatPr defaultColWidth="9.140625" defaultRowHeight="29.25" customHeight="1" x14ac:dyDescent="0.25"/>
  <cols>
    <col min="1" max="1" width="5.42578125" style="1" customWidth="1"/>
    <col min="2" max="2" width="55.140625" style="1" customWidth="1"/>
    <col min="3" max="3" width="34.140625" style="2" customWidth="1"/>
    <col min="4" max="16384" width="9.140625" style="1"/>
  </cols>
  <sheetData>
    <row r="1" spans="1:4" ht="24" customHeight="1" x14ac:dyDescent="0.25">
      <c r="C1" s="1" t="s">
        <v>77</v>
      </c>
    </row>
    <row r="2" spans="1:4" ht="19.5" customHeight="1" x14ac:dyDescent="0.25">
      <c r="C2" s="1" t="s">
        <v>132</v>
      </c>
    </row>
    <row r="3" spans="1:4" ht="14.25" customHeight="1" x14ac:dyDescent="0.25">
      <c r="C3" s="1" t="s">
        <v>477</v>
      </c>
    </row>
    <row r="4" spans="1:4" ht="8.25" hidden="1" customHeight="1" x14ac:dyDescent="0.25">
      <c r="C4" s="220" t="s">
        <v>470</v>
      </c>
      <c r="D4" s="220"/>
    </row>
    <row r="5" spans="1:4" ht="13.5" hidden="1" customHeight="1" x14ac:dyDescent="0.25">
      <c r="C5" s="220"/>
      <c r="D5" s="220"/>
    </row>
    <row r="6" spans="1:4" ht="11.25" hidden="1" customHeight="1" x14ac:dyDescent="0.25">
      <c r="C6" s="220"/>
      <c r="D6" s="220"/>
    </row>
    <row r="7" spans="1:4" ht="20.25" customHeight="1" x14ac:dyDescent="0.25">
      <c r="B7" s="12" t="s">
        <v>478</v>
      </c>
    </row>
    <row r="8" spans="1:4" ht="21.75" customHeight="1" x14ac:dyDescent="0.25">
      <c r="A8" s="221" t="s">
        <v>65</v>
      </c>
      <c r="B8" s="221"/>
      <c r="C8" s="221"/>
    </row>
    <row r="9" spans="1:4" ht="12.75" customHeight="1" x14ac:dyDescent="0.25">
      <c r="A9" s="10"/>
      <c r="B9" s="10"/>
      <c r="C9" s="10"/>
    </row>
    <row r="10" spans="1:4" ht="16.5" customHeight="1" x14ac:dyDescent="0.25">
      <c r="C10" s="152" t="s">
        <v>271</v>
      </c>
    </row>
    <row r="11" spans="1:4" ht="19.5" customHeight="1" x14ac:dyDescent="0.25">
      <c r="A11" s="294" t="s">
        <v>232</v>
      </c>
      <c r="B11" s="231" t="s">
        <v>96</v>
      </c>
      <c r="C11" s="245" t="s">
        <v>74</v>
      </c>
    </row>
    <row r="12" spans="1:4" ht="23.25" customHeight="1" x14ac:dyDescent="0.25">
      <c r="A12" s="295"/>
      <c r="B12" s="232"/>
      <c r="C12" s="246"/>
    </row>
    <row r="13" spans="1:4" ht="24" customHeight="1" x14ac:dyDescent="0.25">
      <c r="A13" s="92" t="s">
        <v>78</v>
      </c>
      <c r="B13" s="247" t="s">
        <v>313</v>
      </c>
      <c r="C13" s="248"/>
    </row>
    <row r="14" spans="1:4" ht="24" customHeight="1" x14ac:dyDescent="0.25">
      <c r="A14" s="93" t="s">
        <v>69</v>
      </c>
      <c r="B14" s="30" t="s">
        <v>108</v>
      </c>
      <c r="C14" s="40">
        <v>86</v>
      </c>
    </row>
    <row r="15" spans="1:4" ht="24" customHeight="1" x14ac:dyDescent="0.25">
      <c r="A15" s="93" t="s">
        <v>13</v>
      </c>
      <c r="B15" s="30" t="s">
        <v>2</v>
      </c>
      <c r="C15" s="40">
        <v>90</v>
      </c>
    </row>
    <row r="16" spans="1:4" ht="24" customHeight="1" x14ac:dyDescent="0.25">
      <c r="A16" s="93" t="s">
        <v>14</v>
      </c>
      <c r="B16" s="30" t="s">
        <v>9</v>
      </c>
      <c r="C16" s="40">
        <v>31</v>
      </c>
    </row>
    <row r="17" spans="1:3" ht="33.75" customHeight="1" x14ac:dyDescent="0.25">
      <c r="A17" s="93" t="s">
        <v>70</v>
      </c>
      <c r="B17" s="30" t="s">
        <v>124</v>
      </c>
      <c r="C17" s="40">
        <v>27.8</v>
      </c>
    </row>
    <row r="18" spans="1:3" ht="33.75" customHeight="1" x14ac:dyDescent="0.25">
      <c r="A18" s="93" t="s">
        <v>15</v>
      </c>
      <c r="B18" s="30" t="s">
        <v>75</v>
      </c>
      <c r="C18" s="40">
        <v>51</v>
      </c>
    </row>
    <row r="19" spans="1:3" ht="33.75" customHeight="1" x14ac:dyDescent="0.25">
      <c r="A19" s="93" t="s">
        <v>16</v>
      </c>
      <c r="B19" s="30" t="s">
        <v>155</v>
      </c>
      <c r="C19" s="40">
        <v>73</v>
      </c>
    </row>
    <row r="20" spans="1:3" ht="24" customHeight="1" x14ac:dyDescent="0.25">
      <c r="A20" s="93" t="s">
        <v>17</v>
      </c>
      <c r="B20" s="30" t="s">
        <v>125</v>
      </c>
      <c r="C20" s="40">
        <v>6.2</v>
      </c>
    </row>
    <row r="21" spans="1:3" ht="24" customHeight="1" x14ac:dyDescent="0.25">
      <c r="A21" s="93" t="s">
        <v>18</v>
      </c>
      <c r="B21" s="30" t="s">
        <v>71</v>
      </c>
      <c r="C21" s="40">
        <v>2</v>
      </c>
    </row>
    <row r="22" spans="1:3" ht="33.75" customHeight="1" x14ac:dyDescent="0.25">
      <c r="A22" s="93" t="s">
        <v>19</v>
      </c>
      <c r="B22" s="30" t="s">
        <v>97</v>
      </c>
      <c r="C22" s="40">
        <v>17.25</v>
      </c>
    </row>
    <row r="23" spans="1:3" ht="24" customHeight="1" x14ac:dyDescent="0.25">
      <c r="A23" s="93" t="s">
        <v>20</v>
      </c>
      <c r="B23" s="9" t="s">
        <v>293</v>
      </c>
      <c r="C23" s="40">
        <v>16.8</v>
      </c>
    </row>
    <row r="24" spans="1:3" ht="24" customHeight="1" x14ac:dyDescent="0.25">
      <c r="A24" s="93" t="s">
        <v>21</v>
      </c>
      <c r="B24" s="30" t="s">
        <v>72</v>
      </c>
      <c r="C24" s="40">
        <v>23.9</v>
      </c>
    </row>
    <row r="25" spans="1:3" ht="24" customHeight="1" x14ac:dyDescent="0.25">
      <c r="A25" s="93" t="s">
        <v>22</v>
      </c>
      <c r="B25" s="30" t="s">
        <v>73</v>
      </c>
      <c r="C25" s="40">
        <v>22</v>
      </c>
    </row>
    <row r="26" spans="1:3" ht="33.75" customHeight="1" x14ac:dyDescent="0.25">
      <c r="A26" s="93" t="s">
        <v>23</v>
      </c>
      <c r="B26" s="30" t="s">
        <v>10</v>
      </c>
      <c r="C26" s="40">
        <v>6.95</v>
      </c>
    </row>
    <row r="27" spans="1:3" ht="24" customHeight="1" x14ac:dyDescent="0.25">
      <c r="A27" s="93" t="s">
        <v>109</v>
      </c>
      <c r="B27" s="30" t="s">
        <v>246</v>
      </c>
      <c r="C27" s="41"/>
    </row>
    <row r="28" spans="1:3" ht="33.75" customHeight="1" x14ac:dyDescent="0.25">
      <c r="A28" s="93" t="s">
        <v>24</v>
      </c>
      <c r="B28" s="30" t="s">
        <v>327</v>
      </c>
      <c r="C28" s="40">
        <v>3</v>
      </c>
    </row>
    <row r="29" spans="1:3" ht="24" customHeight="1" x14ac:dyDescent="0.25">
      <c r="A29" s="93" t="s">
        <v>110</v>
      </c>
      <c r="B29" s="30" t="s">
        <v>98</v>
      </c>
      <c r="C29" s="40">
        <f>24.1+34</f>
        <v>58.1</v>
      </c>
    </row>
    <row r="30" spans="1:3" ht="24" customHeight="1" x14ac:dyDescent="0.25">
      <c r="A30" s="93" t="s">
        <v>165</v>
      </c>
      <c r="B30" s="30" t="s">
        <v>291</v>
      </c>
      <c r="C30" s="40">
        <v>104.6</v>
      </c>
    </row>
    <row r="31" spans="1:3" ht="23.25" customHeight="1" x14ac:dyDescent="0.25">
      <c r="A31" s="93" t="s">
        <v>315</v>
      </c>
      <c r="B31" s="30" t="s">
        <v>432</v>
      </c>
      <c r="C31" s="40">
        <v>2</v>
      </c>
    </row>
    <row r="32" spans="1:3" ht="24" customHeight="1" x14ac:dyDescent="0.25">
      <c r="A32" s="93" t="s">
        <v>316</v>
      </c>
      <c r="B32" s="30" t="s">
        <v>99</v>
      </c>
      <c r="C32" s="40">
        <v>45</v>
      </c>
    </row>
    <row r="33" spans="1:3" ht="24" customHeight="1" x14ac:dyDescent="0.25">
      <c r="A33" s="93" t="s">
        <v>317</v>
      </c>
      <c r="B33" s="54" t="s">
        <v>100</v>
      </c>
      <c r="C33" s="40">
        <v>0.95</v>
      </c>
    </row>
    <row r="34" spans="1:3" ht="24" customHeight="1" x14ac:dyDescent="0.25">
      <c r="A34" s="93" t="s">
        <v>318</v>
      </c>
      <c r="B34" s="54" t="s">
        <v>101</v>
      </c>
      <c r="C34" s="40">
        <v>5</v>
      </c>
    </row>
    <row r="35" spans="1:3" ht="24" customHeight="1" x14ac:dyDescent="0.25">
      <c r="A35" s="93" t="s">
        <v>319</v>
      </c>
      <c r="B35" s="54" t="s">
        <v>102</v>
      </c>
      <c r="C35" s="40">
        <v>3</v>
      </c>
    </row>
    <row r="36" spans="1:3" ht="24" customHeight="1" x14ac:dyDescent="0.25">
      <c r="A36" s="93" t="s">
        <v>320</v>
      </c>
      <c r="B36" s="54" t="s">
        <v>103</v>
      </c>
      <c r="C36" s="40">
        <v>23</v>
      </c>
    </row>
    <row r="37" spans="1:3" ht="24" customHeight="1" x14ac:dyDescent="0.25">
      <c r="A37" s="93" t="s">
        <v>321</v>
      </c>
      <c r="B37" s="54" t="s">
        <v>104</v>
      </c>
      <c r="C37" s="40">
        <v>0.8</v>
      </c>
    </row>
    <row r="38" spans="1:3" s="12" customFormat="1" ht="24" customHeight="1" x14ac:dyDescent="0.25">
      <c r="A38" s="24"/>
      <c r="B38" s="35" t="s">
        <v>74</v>
      </c>
      <c r="C38" s="42">
        <f>SUM(C14:C37)</f>
        <v>699.35</v>
      </c>
    </row>
    <row r="39" spans="1:3" s="12" customFormat="1" ht="24" customHeight="1" x14ac:dyDescent="0.25">
      <c r="A39" s="92" t="s">
        <v>79</v>
      </c>
      <c r="B39" s="247" t="s">
        <v>326</v>
      </c>
      <c r="C39" s="248"/>
    </row>
    <row r="40" spans="1:3" s="12" customFormat="1" ht="24" customHeight="1" x14ac:dyDescent="0.25">
      <c r="A40" s="93" t="s">
        <v>25</v>
      </c>
      <c r="B40" s="30" t="s">
        <v>98</v>
      </c>
      <c r="C40" s="40">
        <v>51.9</v>
      </c>
    </row>
    <row r="41" spans="1:3" s="12" customFormat="1" ht="24" customHeight="1" x14ac:dyDescent="0.25">
      <c r="A41" s="93" t="s">
        <v>26</v>
      </c>
      <c r="B41" s="30" t="s">
        <v>246</v>
      </c>
      <c r="C41" s="40">
        <v>3</v>
      </c>
    </row>
    <row r="42" spans="1:3" s="12" customFormat="1" ht="24" customHeight="1" x14ac:dyDescent="0.25">
      <c r="A42" s="93" t="s">
        <v>27</v>
      </c>
      <c r="B42" s="30" t="s">
        <v>291</v>
      </c>
      <c r="C42" s="40">
        <v>15.4</v>
      </c>
    </row>
    <row r="43" spans="1:3" s="12" customFormat="1" ht="24" customHeight="1" x14ac:dyDescent="0.25">
      <c r="A43" s="24"/>
      <c r="B43" s="35" t="s">
        <v>74</v>
      </c>
      <c r="C43" s="42">
        <f>SUM(C40:C42)</f>
        <v>70.3</v>
      </c>
    </row>
    <row r="44" spans="1:3" ht="24" customHeight="1" x14ac:dyDescent="0.25">
      <c r="A44" s="92" t="s">
        <v>80</v>
      </c>
      <c r="B44" s="247" t="s">
        <v>314</v>
      </c>
      <c r="C44" s="248"/>
    </row>
    <row r="45" spans="1:3" ht="24" customHeight="1" x14ac:dyDescent="0.25">
      <c r="A45" s="93" t="s">
        <v>37</v>
      </c>
      <c r="B45" s="30" t="s">
        <v>105</v>
      </c>
      <c r="C45" s="40">
        <v>186</v>
      </c>
    </row>
    <row r="46" spans="1:3" ht="33.75" customHeight="1" x14ac:dyDescent="0.25">
      <c r="A46" s="93" t="s">
        <v>38</v>
      </c>
      <c r="B46" s="30" t="s">
        <v>327</v>
      </c>
      <c r="C46" s="40">
        <v>106.5</v>
      </c>
    </row>
    <row r="47" spans="1:3" ht="33.75" customHeight="1" x14ac:dyDescent="0.25">
      <c r="A47" s="93" t="s">
        <v>39</v>
      </c>
      <c r="B47" s="30" t="s">
        <v>106</v>
      </c>
      <c r="C47" s="40">
        <v>8</v>
      </c>
    </row>
    <row r="48" spans="1:3" ht="24" customHeight="1" x14ac:dyDescent="0.25">
      <c r="A48" s="93" t="s">
        <v>40</v>
      </c>
      <c r="B48" s="27" t="s">
        <v>115</v>
      </c>
      <c r="C48" s="40">
        <v>63</v>
      </c>
    </row>
    <row r="49" spans="1:3" ht="24" customHeight="1" x14ac:dyDescent="0.25">
      <c r="A49" s="93" t="s">
        <v>41</v>
      </c>
      <c r="B49" s="27" t="s">
        <v>163</v>
      </c>
      <c r="C49" s="40">
        <v>2.2999999999999998</v>
      </c>
    </row>
    <row r="50" spans="1:3" ht="24" customHeight="1" x14ac:dyDescent="0.25">
      <c r="A50" s="93" t="s">
        <v>42</v>
      </c>
      <c r="B50" s="27" t="s">
        <v>116</v>
      </c>
      <c r="C50" s="40">
        <v>2</v>
      </c>
    </row>
    <row r="51" spans="1:3" ht="24" customHeight="1" x14ac:dyDescent="0.25">
      <c r="A51" s="93" t="s">
        <v>43</v>
      </c>
      <c r="B51" s="27" t="s">
        <v>119</v>
      </c>
      <c r="C51" s="40">
        <v>0.4</v>
      </c>
    </row>
    <row r="52" spans="1:3" ht="24" customHeight="1" x14ac:dyDescent="0.25">
      <c r="A52" s="93" t="s">
        <v>44</v>
      </c>
      <c r="B52" s="27" t="s">
        <v>121</v>
      </c>
      <c r="C52" s="40">
        <v>2</v>
      </c>
    </row>
    <row r="53" spans="1:3" ht="24" customHeight="1" x14ac:dyDescent="0.25">
      <c r="A53" s="93" t="s">
        <v>92</v>
      </c>
      <c r="B53" s="27" t="s">
        <v>123</v>
      </c>
      <c r="C53" s="40">
        <v>1.7</v>
      </c>
    </row>
    <row r="54" spans="1:3" ht="24" customHeight="1" x14ac:dyDescent="0.25">
      <c r="A54" s="93" t="s">
        <v>290</v>
      </c>
      <c r="B54" s="27" t="s">
        <v>164</v>
      </c>
      <c r="C54" s="40">
        <v>4.5</v>
      </c>
    </row>
    <row r="55" spans="1:3" ht="24" customHeight="1" x14ac:dyDescent="0.25">
      <c r="A55" s="7" t="s">
        <v>339</v>
      </c>
      <c r="B55" s="27" t="s">
        <v>127</v>
      </c>
      <c r="C55" s="40">
        <v>14</v>
      </c>
    </row>
    <row r="56" spans="1:3" s="12" customFormat="1" ht="24" customHeight="1" x14ac:dyDescent="0.25">
      <c r="A56" s="24"/>
      <c r="B56" s="35" t="s">
        <v>74</v>
      </c>
      <c r="C56" s="42">
        <f>SUM(C45:C55)</f>
        <v>390.4</v>
      </c>
    </row>
    <row r="57" spans="1:3" s="67" customFormat="1" ht="24" customHeight="1" x14ac:dyDescent="0.25">
      <c r="A57" s="112" t="s">
        <v>389</v>
      </c>
      <c r="B57" s="293" t="s">
        <v>323</v>
      </c>
      <c r="C57" s="293"/>
    </row>
    <row r="58" spans="1:3" s="12" customFormat="1" ht="24" customHeight="1" x14ac:dyDescent="0.25">
      <c r="A58" s="126" t="s">
        <v>390</v>
      </c>
      <c r="B58" s="30" t="s">
        <v>113</v>
      </c>
      <c r="C58" s="40">
        <v>18</v>
      </c>
    </row>
    <row r="59" spans="1:3" s="12" customFormat="1" ht="24" customHeight="1" x14ac:dyDescent="0.25">
      <c r="A59" s="173"/>
      <c r="B59" s="34" t="s">
        <v>74</v>
      </c>
      <c r="C59" s="42">
        <f>C58</f>
        <v>18</v>
      </c>
    </row>
    <row r="60" spans="1:3" s="12" customFormat="1" ht="24" customHeight="1" x14ac:dyDescent="0.25">
      <c r="A60" s="39" t="s">
        <v>133</v>
      </c>
      <c r="B60" s="39"/>
      <c r="C60" s="43">
        <f>C38+C56+C59+C43</f>
        <v>1178.05</v>
      </c>
    </row>
    <row r="61" spans="1:3" ht="29.25" customHeight="1" x14ac:dyDescent="0.25">
      <c r="A61" s="32"/>
      <c r="B61" s="32"/>
      <c r="C61" s="121"/>
    </row>
    <row r="62" spans="1:3" ht="29.25" customHeight="1" x14ac:dyDescent="0.25">
      <c r="C62" s="13"/>
    </row>
    <row r="63" spans="1:3" ht="29.25" customHeight="1" x14ac:dyDescent="0.25">
      <c r="C63" s="13"/>
    </row>
    <row r="64" spans="1:3" ht="29.25" customHeight="1" x14ac:dyDescent="0.25">
      <c r="C64" s="13"/>
    </row>
    <row r="65" spans="3:3" ht="29.25" customHeight="1" x14ac:dyDescent="0.25">
      <c r="C65" s="13"/>
    </row>
  </sheetData>
  <mergeCells count="9">
    <mergeCell ref="C4:D6"/>
    <mergeCell ref="B57:C57"/>
    <mergeCell ref="B44:C44"/>
    <mergeCell ref="A8:C8"/>
    <mergeCell ref="A11:A12"/>
    <mergeCell ref="B11:B12"/>
    <mergeCell ref="C11:C12"/>
    <mergeCell ref="B13:C13"/>
    <mergeCell ref="B39:C39"/>
  </mergeCells>
  <phoneticPr fontId="9" type="noConversion"/>
  <pageMargins left="0.74803149606299213" right="0" top="0" bottom="0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5"/>
  <sheetViews>
    <sheetView showZeros="0" workbookViewId="0">
      <selection activeCell="C18" sqref="C18"/>
    </sheetView>
  </sheetViews>
  <sheetFormatPr defaultColWidth="9.140625" defaultRowHeight="15.75" customHeight="1" x14ac:dyDescent="0.25"/>
  <cols>
    <col min="1" max="1" width="6" style="1" customWidth="1"/>
    <col min="2" max="2" width="63.7109375" style="1" customWidth="1"/>
    <col min="3" max="3" width="35.28515625" style="1" customWidth="1"/>
    <col min="4" max="4" width="17.85546875" style="1" customWidth="1"/>
    <col min="5" max="16384" width="9.140625" style="1"/>
  </cols>
  <sheetData>
    <row r="1" spans="1:3" ht="15.75" customHeight="1" x14ac:dyDescent="0.25">
      <c r="C1" s="2" t="s">
        <v>77</v>
      </c>
    </row>
    <row r="2" spans="1:3" ht="15.75" customHeight="1" x14ac:dyDescent="0.25">
      <c r="C2" s="1" t="s">
        <v>132</v>
      </c>
    </row>
    <row r="3" spans="1:3" ht="15.75" customHeight="1" x14ac:dyDescent="0.25">
      <c r="C3" s="1" t="s">
        <v>476</v>
      </c>
    </row>
    <row r="4" spans="1:3" ht="15.75" customHeight="1" x14ac:dyDescent="0.25">
      <c r="C4" s="1" t="s">
        <v>435</v>
      </c>
    </row>
    <row r="5" spans="1:3" ht="15.75" hidden="1" customHeight="1" x14ac:dyDescent="0.25">
      <c r="C5" s="220" t="s">
        <v>470</v>
      </c>
    </row>
    <row r="6" spans="1:3" ht="15.75" hidden="1" customHeight="1" x14ac:dyDescent="0.25">
      <c r="C6" s="220"/>
    </row>
    <row r="7" spans="1:3" ht="15.75" hidden="1" customHeight="1" x14ac:dyDescent="0.25">
      <c r="C7" s="220"/>
    </row>
    <row r="8" spans="1:3" ht="15.75" customHeight="1" x14ac:dyDescent="0.25">
      <c r="C8" s="2"/>
    </row>
    <row r="9" spans="1:3" ht="15.75" customHeight="1" x14ac:dyDescent="0.25">
      <c r="A9" s="292" t="s">
        <v>472</v>
      </c>
      <c r="B9" s="292"/>
      <c r="C9" s="292"/>
    </row>
    <row r="10" spans="1:3" ht="15.75" customHeight="1" x14ac:dyDescent="0.25">
      <c r="A10" s="292" t="s">
        <v>180</v>
      </c>
      <c r="B10" s="292"/>
      <c r="C10" s="292"/>
    </row>
    <row r="11" spans="1:3" ht="15.75" customHeight="1" x14ac:dyDescent="0.25">
      <c r="C11" s="152" t="s">
        <v>271</v>
      </c>
    </row>
    <row r="12" spans="1:3" ht="24" customHeight="1" x14ac:dyDescent="0.25">
      <c r="A12" s="298" t="s">
        <v>231</v>
      </c>
      <c r="B12" s="245" t="s">
        <v>96</v>
      </c>
      <c r="C12" s="245" t="s">
        <v>74</v>
      </c>
    </row>
    <row r="13" spans="1:3" ht="24" customHeight="1" x14ac:dyDescent="0.25">
      <c r="A13" s="299"/>
      <c r="B13" s="290"/>
      <c r="C13" s="290"/>
    </row>
    <row r="14" spans="1:3" ht="24" customHeight="1" x14ac:dyDescent="0.25">
      <c r="A14" s="92" t="s">
        <v>78</v>
      </c>
      <c r="B14" s="296" t="s">
        <v>314</v>
      </c>
      <c r="C14" s="296"/>
    </row>
    <row r="15" spans="1:3" ht="24" customHeight="1" x14ac:dyDescent="0.25">
      <c r="A15" s="93" t="s">
        <v>69</v>
      </c>
      <c r="B15" s="33" t="s">
        <v>113</v>
      </c>
      <c r="C15" s="40">
        <v>42.2</v>
      </c>
    </row>
    <row r="16" spans="1:3" ht="24" customHeight="1" x14ac:dyDescent="0.25">
      <c r="A16" s="94"/>
      <c r="B16" s="55" t="s">
        <v>76</v>
      </c>
      <c r="C16" s="42">
        <f>C15</f>
        <v>42.2</v>
      </c>
    </row>
    <row r="17" spans="1:3" ht="24" customHeight="1" x14ac:dyDescent="0.25">
      <c r="A17" s="92" t="s">
        <v>79</v>
      </c>
      <c r="B17" s="242" t="s">
        <v>324</v>
      </c>
      <c r="C17" s="242"/>
    </row>
    <row r="18" spans="1:3" ht="24" customHeight="1" x14ac:dyDescent="0.25">
      <c r="A18" s="93" t="s">
        <v>25</v>
      </c>
      <c r="B18" s="33" t="s">
        <v>113</v>
      </c>
      <c r="C18" s="40">
        <f>116.8+35+52</f>
        <v>203.8</v>
      </c>
    </row>
    <row r="19" spans="1:3" ht="24" customHeight="1" x14ac:dyDescent="0.25">
      <c r="A19" s="61"/>
      <c r="B19" s="148" t="s">
        <v>76</v>
      </c>
      <c r="C19" s="42">
        <f>SUM(C18)</f>
        <v>203.8</v>
      </c>
    </row>
    <row r="20" spans="1:3" ht="24" customHeight="1" x14ac:dyDescent="0.25">
      <c r="A20" s="92" t="s">
        <v>80</v>
      </c>
      <c r="B20" s="242" t="s">
        <v>323</v>
      </c>
      <c r="C20" s="242"/>
    </row>
    <row r="21" spans="1:3" ht="24" customHeight="1" x14ac:dyDescent="0.25">
      <c r="A21" s="93" t="s">
        <v>37</v>
      </c>
      <c r="B21" s="33" t="s">
        <v>113</v>
      </c>
      <c r="C21" s="40">
        <f>49+210</f>
        <v>259</v>
      </c>
    </row>
    <row r="22" spans="1:3" ht="24" customHeight="1" x14ac:dyDescent="0.25">
      <c r="A22" s="61"/>
      <c r="B22" s="148" t="s">
        <v>76</v>
      </c>
      <c r="C22" s="42">
        <f>SUM(C21)</f>
        <v>259</v>
      </c>
    </row>
    <row r="23" spans="1:3" ht="24" customHeight="1" x14ac:dyDescent="0.25">
      <c r="A23" s="297" t="s">
        <v>133</v>
      </c>
      <c r="B23" s="297"/>
      <c r="C23" s="43">
        <f>C19+C16+C22</f>
        <v>505</v>
      </c>
    </row>
    <row r="24" spans="1:3" ht="15.75" customHeight="1" x14ac:dyDescent="0.25">
      <c r="C24" s="44"/>
    </row>
    <row r="25" spans="1:3" ht="15.75" customHeight="1" x14ac:dyDescent="0.25">
      <c r="A25" s="113"/>
      <c r="B25" s="113"/>
      <c r="C25" s="113"/>
    </row>
  </sheetData>
  <mergeCells count="10">
    <mergeCell ref="C5:C7"/>
    <mergeCell ref="B14:C14"/>
    <mergeCell ref="A23:B23"/>
    <mergeCell ref="A9:C9"/>
    <mergeCell ref="A12:A13"/>
    <mergeCell ref="B12:B13"/>
    <mergeCell ref="C12:C13"/>
    <mergeCell ref="A10:C10"/>
    <mergeCell ref="B17:C17"/>
    <mergeCell ref="B20:C20"/>
  </mergeCells>
  <phoneticPr fontId="9" type="noConversion"/>
  <pageMargins left="0.74803149606299213" right="0.74803149606299213" top="0.98425196850393704" bottom="0.98425196850393704" header="0.51181102362204722" footer="0.51181102362204722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20</vt:i4>
      </vt:variant>
      <vt:variant>
        <vt:lpstr>Įvardytieji diapazonai</vt:lpstr>
      </vt:variant>
      <vt:variant>
        <vt:i4>7</vt:i4>
      </vt:variant>
    </vt:vector>
  </HeadingPairs>
  <TitlesOfParts>
    <vt:vector size="27" baseType="lpstr">
      <vt:lpstr>PAJAMOS</vt:lpstr>
      <vt:lpstr>BĮ PAJAMOS</vt:lpstr>
      <vt:lpstr>ASIGNAVIMAI</vt:lpstr>
      <vt:lpstr>ASIGN UGDYMO REIKMĖMS</vt:lpstr>
      <vt:lpstr>ASIGNAVIMAI IŠ SAVIV.BIUDŽETO</vt:lpstr>
      <vt:lpstr>ASIGN IŠ DOTACIJŲ</vt:lpstr>
      <vt:lpstr>ES</vt:lpstr>
      <vt:lpstr>ASIGN IŠ BĮ PAJAMŲ</vt:lpstr>
      <vt:lpstr>ASIGN SPEC PROGRAMOMS</vt:lpstr>
      <vt:lpstr>ASIGN IŠ NEP TIKSL PASK L</vt:lpstr>
      <vt:lpstr>IŠ NEP BĮ PAJAMŲ ĮM</vt:lpstr>
      <vt:lpstr>ASIGNAV IŠ ES NEP</vt:lpstr>
      <vt:lpstr>BKL</vt:lpstr>
      <vt:lpstr>ASIGN IŠ SKOLINTŲ LĖŠŲ</vt:lpstr>
      <vt:lpstr>Skolintos lėšos</vt:lpstr>
      <vt:lpstr>ASIGNAVIMAI PAGAL PROGRAMAS</vt:lpstr>
      <vt:lpstr>Lapas2</vt:lpstr>
      <vt:lpstr>ASIGNAVIMAI PAGAL PROGRAMAS SB</vt:lpstr>
      <vt:lpstr>asign pagal programas</vt:lpstr>
      <vt:lpstr>asign SB</vt:lpstr>
      <vt:lpstr>'ASIGN IŠ BĮ PAJAMŲ'!Print_Titles</vt:lpstr>
      <vt:lpstr>'ASIGN IŠ DOTACIJŲ'!Print_Titles</vt:lpstr>
      <vt:lpstr>'ASIGN UGDYMO REIKMĖMS'!Print_Titles</vt:lpstr>
      <vt:lpstr>ASIGNAVIMAI!Print_Titles</vt:lpstr>
      <vt:lpstr>'ASIGNAVIMAI IŠ SAVIV.BIUDŽETO'!Print_Titles</vt:lpstr>
      <vt:lpstr>'BĮ PAJAMOS'!Print_Titles</vt:lpstr>
      <vt:lpstr>PAJAMOS!Print_Titles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Nijolė Palaimienė</dc:creator>
  <cp:lastModifiedBy>Audronė Litvinskaitė</cp:lastModifiedBy>
  <cp:revision>1</cp:revision>
  <cp:lastPrinted>2026-01-27T07:32:49Z</cp:lastPrinted>
  <dcterms:created xsi:type="dcterms:W3CDTF">2003-11-18T09:46:08Z</dcterms:created>
  <dcterms:modified xsi:type="dcterms:W3CDTF">2026-02-05T08:57:23Z</dcterms:modified>
</cp:coreProperties>
</file>